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K:\ERS Projects- Active\Monthly Outlook Reports\Oil Crops Outlook\"/>
    </mc:Choice>
  </mc:AlternateContent>
  <xr:revisionPtr revIDLastSave="0" documentId="13_ncr:1_{A2CBAF5C-D235-4B06-95EA-DD1D45F787C9}" xr6:coauthVersionLast="45" xr6:coauthVersionMax="45" xr10:uidLastSave="{00000000-0000-0000-0000-000000000000}"/>
  <bookViews>
    <workbookView xWindow="-110" yWindow="-110" windowWidth="19420" windowHeight="10420" tabRatio="633" firstSheet="1" activeTab="1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14" r:id="rId9"/>
    <sheet name="Oil Crops Chart Gallery Fig 1" sheetId="13" r:id="rId10"/>
    <sheet name="Oil Crops Chart Gallery Fig 2" sheetId="12" r:id="rId11"/>
  </sheets>
  <definedNames>
    <definedName name="_xlnm.Print_Area" localSheetId="1">'Table 1'!$A$1:$N$37</definedName>
    <definedName name="_xlnm.Print_Area" localSheetId="7">'Table 10'!$A$1:$G$38</definedName>
    <definedName name="_xlnm.Print_Area" localSheetId="2">'Table 2'!$A$1:$J$30</definedName>
    <definedName name="_xlnm.Print_Area" localSheetId="3">'Table 3'!$A$1:$M$45</definedName>
    <definedName name="_xlnm.Print_Area" localSheetId="5">'Table 8'!$A$1:$G$36</definedName>
    <definedName name="_xlnm.Print_Area" localSheetId="6">'Table 9'!$A$1:$I$38</definedName>
    <definedName name="_xlnm.Print_Area" localSheetId="4">'Tables 4-7'!$A$1:$O$53</definedName>
    <definedName name="WASDE_Updated" localSheetId="0">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" i="9" l="1"/>
  <c r="B28" i="9" l="1"/>
  <c r="J28" i="9"/>
  <c r="D28" i="9"/>
  <c r="H27" i="2"/>
  <c r="D27" i="2"/>
  <c r="L33" i="1"/>
  <c r="G33" i="1"/>
  <c r="L28" i="9" l="1"/>
  <c r="J29" i="9" l="1"/>
  <c r="I29" i="9"/>
  <c r="H29" i="9"/>
  <c r="D29" i="9"/>
  <c r="C29" i="9"/>
  <c r="C27" i="2"/>
  <c r="J27" i="2"/>
  <c r="H28" i="2"/>
  <c r="D28" i="2"/>
  <c r="C28" i="2"/>
  <c r="E27" i="2"/>
  <c r="B27" i="2"/>
  <c r="G34" i="1"/>
  <c r="L34" i="1"/>
  <c r="J34" i="1"/>
  <c r="J33" i="1"/>
  <c r="E29" i="9" l="1"/>
  <c r="E28" i="2"/>
  <c r="I27" i="2"/>
  <c r="G27" i="2" s="1"/>
  <c r="G28" i="2" s="1"/>
  <c r="I27" i="9"/>
  <c r="E28" i="9"/>
  <c r="K28" i="9" s="1"/>
  <c r="G28" i="9" l="1"/>
  <c r="G29" i="9" s="1"/>
  <c r="K29" i="9"/>
  <c r="I28" i="2"/>
  <c r="L32" i="1"/>
  <c r="L31" i="1"/>
  <c r="L26" i="1"/>
  <c r="J12" i="9" l="1"/>
  <c r="J14" i="9"/>
  <c r="J13" i="9"/>
  <c r="J35" i="3" l="1"/>
  <c r="F8" i="1" l="1"/>
  <c r="J27" i="9" l="1"/>
  <c r="D27" i="9"/>
  <c r="B26" i="2"/>
  <c r="H26" i="2"/>
  <c r="D26" i="2"/>
  <c r="G32" i="1" l="1"/>
  <c r="L27" i="9" l="1"/>
  <c r="J26" i="2"/>
  <c r="C26" i="2"/>
  <c r="J31" i="1"/>
  <c r="J32" i="1"/>
  <c r="J7" i="2" l="1"/>
  <c r="H7" i="2"/>
  <c r="D7" i="2"/>
  <c r="C7" i="2"/>
  <c r="E34" i="1"/>
  <c r="H34" i="1" s="1"/>
  <c r="M34" i="1" s="1"/>
  <c r="K34" i="1" s="1"/>
  <c r="J22" i="2"/>
  <c r="H22" i="2"/>
  <c r="D22" i="2"/>
  <c r="C22" i="2"/>
  <c r="J21" i="2"/>
  <c r="B22" i="2" s="1"/>
  <c r="E22" i="2" s="1"/>
  <c r="H21" i="2"/>
  <c r="D21" i="2"/>
  <c r="C21" i="2"/>
  <c r="J20" i="2"/>
  <c r="B21" i="2" s="1"/>
  <c r="H20" i="2"/>
  <c r="D20" i="2"/>
  <c r="C20" i="2"/>
  <c r="J19" i="2"/>
  <c r="B20" i="2" s="1"/>
  <c r="E20" i="2" s="1"/>
  <c r="H19" i="2"/>
  <c r="D19" i="2"/>
  <c r="C19" i="2"/>
  <c r="J18" i="2"/>
  <c r="B19" i="2" s="1"/>
  <c r="H18" i="2"/>
  <c r="D18" i="2"/>
  <c r="C18" i="2"/>
  <c r="J17" i="2"/>
  <c r="B18" i="2" s="1"/>
  <c r="E18" i="2" s="1"/>
  <c r="H17" i="2"/>
  <c r="D17" i="2"/>
  <c r="C17" i="2"/>
  <c r="J16" i="2"/>
  <c r="B17" i="2" s="1"/>
  <c r="H16" i="2"/>
  <c r="D16" i="2"/>
  <c r="C16" i="2"/>
  <c r="J15" i="2"/>
  <c r="B16" i="2" s="1"/>
  <c r="E16" i="2" s="1"/>
  <c r="H15" i="2"/>
  <c r="D15" i="2"/>
  <c r="C15" i="2"/>
  <c r="J14" i="2"/>
  <c r="B15" i="2" s="1"/>
  <c r="H14" i="2"/>
  <c r="D14" i="2"/>
  <c r="C14" i="2"/>
  <c r="J13" i="2"/>
  <c r="B14" i="2" s="1"/>
  <c r="E14" i="2" s="1"/>
  <c r="H13" i="2"/>
  <c r="D13" i="2"/>
  <c r="C13" i="2"/>
  <c r="J12" i="2"/>
  <c r="B13" i="2" s="1"/>
  <c r="H12" i="2"/>
  <c r="D12" i="2"/>
  <c r="C12" i="2"/>
  <c r="J11" i="2"/>
  <c r="B12" i="2" s="1"/>
  <c r="E12" i="2" s="1"/>
  <c r="H11" i="2"/>
  <c r="D11" i="2"/>
  <c r="C11" i="2"/>
  <c r="C23" i="2" s="1"/>
  <c r="B11" i="2"/>
  <c r="L8" i="9"/>
  <c r="D8" i="9"/>
  <c r="C8" i="9"/>
  <c r="B27" i="9"/>
  <c r="H24" i="9"/>
  <c r="H8" i="9" s="1"/>
  <c r="C24" i="9"/>
  <c r="L23" i="9"/>
  <c r="J23" i="9"/>
  <c r="D23" i="9"/>
  <c r="L22" i="9"/>
  <c r="B23" i="9" s="1"/>
  <c r="E23" i="9" s="1"/>
  <c r="K23" i="9" s="1"/>
  <c r="G23" i="9" s="1"/>
  <c r="I23" i="9" s="1"/>
  <c r="J22" i="9"/>
  <c r="D22" i="9"/>
  <c r="L21" i="9"/>
  <c r="B22" i="9" s="1"/>
  <c r="J21" i="9"/>
  <c r="D21" i="9"/>
  <c r="L20" i="9"/>
  <c r="B21" i="9" s="1"/>
  <c r="J20" i="9"/>
  <c r="D20" i="9"/>
  <c r="L19" i="9"/>
  <c r="B20" i="9" s="1"/>
  <c r="E20" i="9" s="1"/>
  <c r="K20" i="9" s="1"/>
  <c r="G20" i="9" s="1"/>
  <c r="I20" i="9" s="1"/>
  <c r="J19" i="9"/>
  <c r="D19" i="9"/>
  <c r="L18" i="9"/>
  <c r="B19" i="9" s="1"/>
  <c r="J18" i="9"/>
  <c r="D18" i="9"/>
  <c r="L17" i="9"/>
  <c r="B18" i="9" s="1"/>
  <c r="E18" i="9" s="1"/>
  <c r="K18" i="9" s="1"/>
  <c r="G18" i="9" s="1"/>
  <c r="I18" i="9" s="1"/>
  <c r="J17" i="9"/>
  <c r="D17" i="9"/>
  <c r="L16" i="9"/>
  <c r="B17" i="9" s="1"/>
  <c r="E17" i="9" s="1"/>
  <c r="K17" i="9" s="1"/>
  <c r="G17" i="9" s="1"/>
  <c r="I17" i="9" s="1"/>
  <c r="J16" i="9"/>
  <c r="D16" i="9"/>
  <c r="L15" i="9"/>
  <c r="B16" i="9" s="1"/>
  <c r="E16" i="9" s="1"/>
  <c r="J15" i="9"/>
  <c r="D15" i="9"/>
  <c r="L14" i="9"/>
  <c r="B15" i="9" s="1"/>
  <c r="E15" i="9" s="1"/>
  <c r="K15" i="9" s="1"/>
  <c r="G15" i="9" s="1"/>
  <c r="I15" i="9" s="1"/>
  <c r="D14" i="9"/>
  <c r="L13" i="9"/>
  <c r="B14" i="9" s="1"/>
  <c r="D13" i="9"/>
  <c r="L12" i="9"/>
  <c r="B13" i="9" s="1"/>
  <c r="D12" i="9"/>
  <c r="B12" i="9"/>
  <c r="D23" i="2" l="1"/>
  <c r="E13" i="2"/>
  <c r="I13" i="2" s="1"/>
  <c r="G13" i="2" s="1"/>
  <c r="E15" i="2"/>
  <c r="I15" i="2" s="1"/>
  <c r="G15" i="2" s="1"/>
  <c r="E17" i="2"/>
  <c r="I17" i="2" s="1"/>
  <c r="G17" i="2" s="1"/>
  <c r="E19" i="2"/>
  <c r="I19" i="2" s="1"/>
  <c r="G19" i="2" s="1"/>
  <c r="E21" i="2"/>
  <c r="I21" i="2" s="1"/>
  <c r="G21" i="2" s="1"/>
  <c r="E23" i="2"/>
  <c r="H23" i="2"/>
  <c r="I12" i="2"/>
  <c r="G12" i="2" s="1"/>
  <c r="I18" i="2"/>
  <c r="G18" i="2" s="1"/>
  <c r="I22" i="2"/>
  <c r="G22" i="2" s="1"/>
  <c r="I14" i="2"/>
  <c r="G14" i="2" s="1"/>
  <c r="I16" i="2"/>
  <c r="G16" i="2" s="1"/>
  <c r="I20" i="2"/>
  <c r="G20" i="2" s="1"/>
  <c r="E11" i="2"/>
  <c r="I11" i="2" s="1"/>
  <c r="E24" i="9"/>
  <c r="J24" i="9"/>
  <c r="J8" i="9" s="1"/>
  <c r="E13" i="9"/>
  <c r="K13" i="9" s="1"/>
  <c r="G13" i="9" s="1"/>
  <c r="I13" i="9" s="1"/>
  <c r="E21" i="9"/>
  <c r="K21" i="9" s="1"/>
  <c r="G21" i="9" s="1"/>
  <c r="I21" i="9" s="1"/>
  <c r="D24" i="9"/>
  <c r="E19" i="9"/>
  <c r="K19" i="9" s="1"/>
  <c r="G19" i="9" s="1"/>
  <c r="I19" i="9" s="1"/>
  <c r="K16" i="9"/>
  <c r="G16" i="9" s="1"/>
  <c r="I16" i="9" s="1"/>
  <c r="E14" i="9"/>
  <c r="K14" i="9" s="1"/>
  <c r="G14" i="9" s="1"/>
  <c r="I14" i="9" s="1"/>
  <c r="E22" i="9"/>
  <c r="K22" i="9" s="1"/>
  <c r="G22" i="9" s="1"/>
  <c r="I22" i="9" s="1"/>
  <c r="E12" i="9"/>
  <c r="K12" i="9" s="1"/>
  <c r="G31" i="1"/>
  <c r="I23" i="2" l="1"/>
  <c r="G11" i="2"/>
  <c r="G23" i="2" s="1"/>
  <c r="K24" i="9"/>
  <c r="G12" i="9"/>
  <c r="I12" i="9" l="1"/>
  <c r="I24" i="9" s="1"/>
  <c r="G24" i="9"/>
  <c r="J26" i="1"/>
  <c r="G26" i="1" l="1"/>
  <c r="F15" i="1" l="1"/>
  <c r="N7" i="1" l="1"/>
  <c r="E27" i="1"/>
  <c r="O48" i="3" l="1"/>
  <c r="K48" i="3"/>
  <c r="G25" i="1" l="1"/>
  <c r="L25" i="1"/>
  <c r="J25" i="1" l="1"/>
  <c r="F28" i="1" l="1"/>
  <c r="L24" i="1" l="1"/>
  <c r="L27" i="1" s="1"/>
  <c r="G24" i="1"/>
  <c r="G27" i="1" s="1"/>
  <c r="H27" i="1" s="1"/>
  <c r="M27" i="1" s="1"/>
  <c r="J24" i="1" l="1"/>
  <c r="J27" i="1" s="1"/>
  <c r="K27" i="1" s="1"/>
  <c r="L22" i="1" l="1"/>
  <c r="G22" i="1"/>
  <c r="J22" i="1" l="1"/>
  <c r="G21" i="1" l="1"/>
  <c r="E23" i="1"/>
  <c r="L16" i="1"/>
  <c r="L14" i="1"/>
  <c r="L13" i="1"/>
  <c r="L12" i="1"/>
  <c r="G16" i="1"/>
  <c r="G14" i="1"/>
  <c r="G13" i="1"/>
  <c r="G12" i="1"/>
  <c r="L21" i="1" l="1"/>
  <c r="J21" i="1" l="1"/>
  <c r="D49" i="3" l="1"/>
  <c r="E49" i="3"/>
  <c r="H49" i="3" s="1"/>
  <c r="N49" i="3" s="1"/>
  <c r="L49" i="3" s="1"/>
  <c r="B36" i="3"/>
  <c r="E36" i="3" s="1"/>
  <c r="I36" i="3" s="1"/>
  <c r="G36" i="3" s="1"/>
  <c r="B23" i="3"/>
  <c r="E23" i="3" s="1"/>
  <c r="I23" i="3" s="1"/>
  <c r="G23" i="3" s="1"/>
  <c r="B9" i="3"/>
  <c r="E9" i="3" s="1"/>
  <c r="J9" i="3" s="1"/>
  <c r="I9" i="3" s="1"/>
  <c r="L20" i="1" l="1"/>
  <c r="L23" i="1" s="1"/>
  <c r="G20" i="1" l="1"/>
  <c r="G23" i="1" s="1"/>
  <c r="H23" i="1" l="1"/>
  <c r="M23" i="1" s="1"/>
  <c r="J20" i="1"/>
  <c r="J23" i="1" s="1"/>
  <c r="K23" i="1" l="1"/>
  <c r="B9" i="9" l="1"/>
  <c r="E9" i="9" s="1"/>
  <c r="K9" i="9" s="1"/>
  <c r="G9" i="9" s="1"/>
  <c r="I9" i="9" s="1"/>
  <c r="B8" i="2"/>
  <c r="E8" i="2" s="1"/>
  <c r="I8" i="2" s="1"/>
  <c r="G8" i="2" s="1"/>
  <c r="D8" i="1"/>
  <c r="E8" i="1"/>
  <c r="H8" i="1" l="1"/>
  <c r="M8" i="1" s="1"/>
  <c r="K8" i="1" s="1"/>
  <c r="J18" i="1" l="1"/>
  <c r="L18" i="1" l="1"/>
  <c r="G18" i="1"/>
  <c r="E19" i="1" l="1"/>
  <c r="L17" i="1" l="1"/>
  <c r="G17" i="1"/>
  <c r="J13" i="1" l="1"/>
  <c r="J17" i="1" l="1"/>
  <c r="B53" i="3" l="1"/>
  <c r="L19" i="1" l="1"/>
  <c r="G19" i="1"/>
  <c r="H19" i="1" s="1"/>
  <c r="M19" i="1" s="1"/>
  <c r="J16" i="1" l="1"/>
  <c r="J19" i="1" s="1"/>
  <c r="K19" i="1" l="1"/>
  <c r="G21" i="6" l="1"/>
  <c r="J14" i="1" l="1"/>
  <c r="L15" i="1" l="1"/>
  <c r="L28" i="1" s="1"/>
  <c r="L7" i="1" s="1"/>
  <c r="G15" i="1"/>
  <c r="G28" i="1" s="1"/>
  <c r="G7" i="1" l="1"/>
  <c r="H28" i="1"/>
  <c r="J12" i="1"/>
  <c r="J15" i="1" s="1"/>
  <c r="J28" i="1" s="1"/>
  <c r="J7" i="1" s="1"/>
  <c r="F7" i="1"/>
  <c r="D7" i="1" s="1"/>
  <c r="H15" i="1"/>
  <c r="E27" i="9" l="1"/>
  <c r="K27" i="9" s="1"/>
  <c r="M15" i="1"/>
  <c r="M28" i="1" s="1"/>
  <c r="E26" i="2"/>
  <c r="I26" i="2" s="1"/>
  <c r="B7" i="2"/>
  <c r="B38" i="1"/>
  <c r="G26" i="2" l="1"/>
  <c r="K15" i="1"/>
  <c r="K28" i="1" s="1"/>
  <c r="G27" i="9"/>
  <c r="K47" i="3" l="1"/>
  <c r="E48" i="3" l="1"/>
  <c r="H48" i="3" s="1"/>
  <c r="N48" i="3" s="1"/>
  <c r="L48" i="3" s="1"/>
  <c r="H47" i="3"/>
  <c r="N47" i="3" s="1"/>
  <c r="L47" i="3" s="1"/>
  <c r="D48" i="3"/>
  <c r="D47" i="3"/>
  <c r="B35" i="3"/>
  <c r="E35" i="3" s="1"/>
  <c r="I35" i="3" s="1"/>
  <c r="G35" i="3" s="1"/>
  <c r="E34" i="3"/>
  <c r="I34" i="3" s="1"/>
  <c r="G34" i="3" s="1"/>
  <c r="B22" i="3"/>
  <c r="E22" i="3" s="1"/>
  <c r="I22" i="3" s="1"/>
  <c r="G22" i="3" s="1"/>
  <c r="E21" i="3"/>
  <c r="I21" i="3" s="1"/>
  <c r="G21" i="3" s="1"/>
  <c r="B8" i="3"/>
  <c r="E8" i="3" s="1"/>
  <c r="J8" i="3" s="1"/>
  <c r="I8" i="3" s="1"/>
  <c r="E7" i="3"/>
  <c r="J7" i="3" s="1"/>
  <c r="I7" i="3" s="1"/>
  <c r="B8" i="9" l="1"/>
  <c r="E8" i="9" s="1"/>
  <c r="K8" i="9" s="1"/>
  <c r="G8" i="9" s="1"/>
  <c r="I8" i="9" s="1"/>
  <c r="E7" i="1"/>
  <c r="H7" i="1" s="1"/>
  <c r="M7" i="1" s="1"/>
  <c r="K7" i="1" s="1"/>
  <c r="E7" i="2"/>
  <c r="I7" i="2" s="1"/>
  <c r="G7" i="2" s="1"/>
  <c r="D6" i="1"/>
  <c r="E7" i="9" l="1"/>
  <c r="K7" i="9" s="1"/>
  <c r="G7" i="9" s="1"/>
  <c r="I7" i="9" s="1"/>
  <c r="E6" i="2" l="1"/>
  <c r="I6" i="2" s="1"/>
  <c r="G6" i="2" s="1"/>
  <c r="H6" i="1" l="1"/>
  <c r="M6" i="1" s="1"/>
  <c r="B40" i="6"/>
  <c r="B39" i="5"/>
  <c r="B39" i="4"/>
  <c r="B32" i="9"/>
  <c r="B31" i="2"/>
  <c r="A5" i="10"/>
  <c r="K6" i="1" l="1"/>
</calcChain>
</file>

<file path=xl/sharedStrings.xml><?xml version="1.0" encoding="utf-8"?>
<sst xmlns="http://schemas.openxmlformats.org/spreadsheetml/2006/main" count="496" uniqueCount="180">
  <si>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</si>
  <si>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</si>
  <si>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</si>
  <si>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</si>
  <si>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</si>
  <si>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</si>
  <si>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</si>
  <si>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</si>
  <si>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</si>
  <si>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</si>
  <si>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</si>
  <si>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</si>
  <si>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</si>
  <si>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</si>
  <si>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</si>
  <si>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</si>
  <si>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Million pounds</t>
  </si>
  <si>
    <t xml:space="preserve">      Million pounds</t>
  </si>
  <si>
    <t>Table 9--U.S. vegetable oil and fats prices</t>
  </si>
  <si>
    <t>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</si>
  <si>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</si>
  <si>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</si>
  <si>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</si>
  <si>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</si>
  <si>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</si>
  <si>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</si>
  <si>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</si>
  <si>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</si>
  <si>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</si>
  <si>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</si>
  <si>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</si>
  <si>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</si>
  <si>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</si>
  <si>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</si>
  <si>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</si>
  <si>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</si>
  <si>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</si>
  <si>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Table 10--U.S. oilseed meal prices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</si>
  <si>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</si>
  <si>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</si>
  <si>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</si>
  <si>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</si>
  <si>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</si>
  <si>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</si>
  <si>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 xml:space="preserve">$/cwt. </t>
  </si>
  <si>
    <t>Table 8--Oilseed prices received by U.S. farmers</t>
  </si>
  <si>
    <t>Canola</t>
  </si>
  <si>
    <t xml:space="preserve">stocks  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</si>
  <si>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</si>
  <si>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</si>
  <si>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</si>
  <si>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</si>
  <si>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</si>
  <si>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</si>
  <si>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</si>
  <si>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</si>
  <si>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</si>
  <si>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</si>
  <si>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</si>
  <si>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</si>
  <si>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</si>
  <si>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</si>
  <si>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</si>
  <si>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</si>
  <si>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</si>
  <si>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Soybeans:  Quarterly U.S. supply and disappearance</t>
  </si>
  <si>
    <t>Bu./acre</t>
  </si>
  <si>
    <t>Cents/pound</t>
  </si>
  <si>
    <t xml:space="preserve">$/bushel </t>
  </si>
  <si>
    <t>Foreign Trade Statistics.</t>
  </si>
  <si>
    <t>Pounds/acre</t>
  </si>
  <si>
    <t xml:space="preserve">  September-November</t>
  </si>
  <si>
    <t xml:space="preserve">  December-February</t>
  </si>
  <si>
    <t xml:space="preserve">  March-May</t>
  </si>
  <si>
    <t>Year beginning</t>
  </si>
  <si>
    <t>October 1</t>
  </si>
  <si>
    <t>August 1</t>
  </si>
  <si>
    <t xml:space="preserve">$/short ton  </t>
  </si>
  <si>
    <t>September 1</t>
  </si>
  <si>
    <t>Sunflowerseed</t>
  </si>
  <si>
    <t>2012/13</t>
  </si>
  <si>
    <t>Supply</t>
  </si>
  <si>
    <t>Million acres</t>
  </si>
  <si>
    <t>1,000 acres</t>
  </si>
  <si>
    <t xml:space="preserve">  Total  </t>
  </si>
  <si>
    <t xml:space="preserve"> stocks </t>
  </si>
  <si>
    <t>Biodiesel</t>
  </si>
  <si>
    <t>2013/14</t>
  </si>
  <si>
    <t>Seed and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</si>
  <si>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</si>
  <si>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</si>
  <si>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</si>
  <si>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</si>
  <si>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</si>
  <si>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$/cwt </t>
  </si>
  <si>
    <t>------------------------------------------------------- Cents/ pound----------------------------------------------</t>
  </si>
  <si>
    <t>--------------------------------------------------- $/short ton------------------------------------------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</si>
  <si>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</si>
  <si>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</si>
  <si>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</si>
  <si>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</si>
  <si>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</si>
  <si>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</si>
  <si>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</si>
  <si>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</si>
  <si>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</si>
  <si>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</si>
  <si>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Food &amp; Other</t>
  </si>
  <si>
    <t>2017/18</t>
  </si>
  <si>
    <t>Oil Crops Outlook Tables</t>
  </si>
  <si>
    <t>Last update</t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</si>
  <si>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</si>
  <si>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</si>
  <si>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 </t>
    </r>
    <r>
      <rPr>
        <sz val="11"/>
        <rFont val="Arial"/>
        <family val="2"/>
      </rPr>
      <t>and U.S. Department of Commerce,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</si>
  <si>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</si>
  <si>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</si>
  <si>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</si>
  <si>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</si>
  <si>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</si>
  <si>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</si>
  <si>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</si>
  <si>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</si>
  <si>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</si>
  <si>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</si>
  <si>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</si>
  <si>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</si>
  <si>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</si>
  <si>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oil </t>
    </r>
    <r>
      <rPr>
        <vertAlign val="superscript"/>
        <sz val="11"/>
        <rFont val="Arial"/>
        <family val="2"/>
      </rPr>
      <t xml:space="preserve">6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</si>
  <si>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</si>
  <si>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</si>
  <si>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</si>
  <si>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</si>
  <si>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</si>
  <si>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</si>
  <si>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</si>
  <si>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Minneapolis. </t>
    </r>
  </si>
  <si>
    <r>
      <t xml:space="preserve">Source: USDA, Agricultural Marketing Service, </t>
    </r>
    <r>
      <rPr>
        <i/>
        <sz val="11"/>
        <rFont val="Arial"/>
        <family val="2"/>
      </rPr>
      <t>Monthly Feedstuff Prices.</t>
    </r>
    <r>
      <rPr>
        <sz val="11"/>
        <rFont val="Arial"/>
        <family val="2"/>
      </rPr>
      <t xml:space="preserve"> </t>
    </r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</si>
  <si>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  <r>
      <rPr>
        <vertAlign val="superscript"/>
        <sz val="11"/>
        <rFont val="Arial"/>
        <family val="2"/>
      </rPr>
      <t/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</si>
  <si>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Chicago.  NA = Not available.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</si>
  <si>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</si>
  <si>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>2018/19</t>
    </r>
    <r>
      <rPr>
        <vertAlign val="superscript"/>
        <sz val="11"/>
        <rFont val="Arial"/>
        <family val="2"/>
      </rPr>
      <t>1</t>
    </r>
  </si>
  <si>
    <t>2018/19</t>
  </si>
  <si>
    <t>---------------------------------------------Million bushels----------------------------------------------------------</t>
  </si>
  <si>
    <r>
      <t>2019/20</t>
    </r>
    <r>
      <rPr>
        <vertAlign val="superscript"/>
        <sz val="11"/>
        <rFont val="Arial"/>
        <family val="2"/>
      </rPr>
      <t>1</t>
    </r>
  </si>
  <si>
    <r>
      <t>2019/20</t>
    </r>
    <r>
      <rPr>
        <vertAlign val="superscript"/>
        <sz val="11"/>
        <rFont val="Arial"/>
        <family val="2"/>
      </rPr>
      <t>2</t>
    </r>
  </si>
  <si>
    <t>2019/20</t>
  </si>
  <si>
    <t>Table 1--Soybeans: Annual U.S. supply and disappearance</t>
  </si>
  <si>
    <t>Table 2--Soybean meal: U.S. supply and disappearance</t>
  </si>
  <si>
    <t>Table 3--Soybean oil: U.S. supply and disappearance</t>
  </si>
  <si>
    <t>Table 4--Cottonseed: U.S. supply and disappearance</t>
  </si>
  <si>
    <t>Table 5--Cottonseed meal: U.S. supply and disappearance</t>
  </si>
  <si>
    <t>Table 6--Cottonseed oil: U.S. supply and disappearance</t>
  </si>
  <si>
    <t>Table 7--Peanuts: U.S. supply and disappearance</t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</si>
  <si>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36.744 bushels and 1 hectare equals 2.471 acres.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</si>
  <si>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1.10231 short tons.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</si>
  <si>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2,204.622 pounds. NA: Not available.</t>
    </r>
  </si>
  <si>
    <r>
      <t>2020/21</t>
    </r>
    <r>
      <rPr>
        <vertAlign val="superscript"/>
        <sz val="11"/>
        <rFont val="Arial"/>
        <family val="2"/>
      </rPr>
      <t>2</t>
    </r>
  </si>
  <si>
    <r>
      <t>2020/21</t>
    </r>
    <r>
      <rPr>
        <vertAlign val="superscript"/>
        <sz val="11"/>
        <rFont val="Arial"/>
        <family val="2"/>
      </rPr>
      <t>1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</si>
  <si>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Processing, </t>
    </r>
    <r>
      <rPr>
        <sz val="11"/>
        <rFont val="Arial"/>
        <family val="2"/>
      </rPr>
      <t>and U.S. Department of Commerce,</t>
    </r>
  </si>
  <si>
    <r>
      <t xml:space="preserve">Source: USDA, Foreign Agricultural Service, </t>
    </r>
    <r>
      <rPr>
        <i/>
        <sz val="11"/>
        <rFont val="Arial"/>
        <family val="2"/>
      </rPr>
      <t>Production, Supply, and Distribution Online.</t>
    </r>
  </si>
  <si>
    <r>
      <t xml:space="preserve">Sources: USDA, Agricultural Marketing Service, </t>
    </r>
    <r>
      <rPr>
        <i/>
        <sz val="11"/>
        <rFont val="Arial"/>
        <family val="2"/>
      </rPr>
      <t xml:space="preserve">Monthly Feedstuff Prices </t>
    </r>
    <r>
      <rPr>
        <sz val="11"/>
        <rFont val="Arial"/>
        <family val="2"/>
      </rPr>
      <t>and</t>
    </r>
    <r>
      <rPr>
        <i/>
        <sz val="11"/>
        <rFont val="Arial"/>
        <family val="2"/>
      </rPr>
      <t xml:space="preserve"> Milling and Baking News.</t>
    </r>
    <r>
      <rPr>
        <sz val="11"/>
        <rFont val="Arial"/>
        <family val="2"/>
      </rPr>
      <t xml:space="preserve"> </t>
    </r>
  </si>
  <si>
    <t>cwt = hundredweight.</t>
  </si>
  <si>
    <t xml:space="preserve">Contact: Mark Ash 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</si>
  <si>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Grain Stocks </t>
    </r>
    <r>
      <rPr>
        <sz val="11"/>
        <rFont val="Arial"/>
        <family val="2"/>
      </rPr>
      <t>and U.S. Department of Commerce, Bureau of the Census,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</si>
  <si>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</si>
  <si>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 xml:space="preserve"> June</t>
  </si>
  <si>
    <t xml:space="preserve"> July</t>
  </si>
  <si>
    <t xml:space="preserve"> August</t>
  </si>
  <si>
    <t>2020/21</t>
  </si>
  <si>
    <t>Total to date</t>
  </si>
  <si>
    <t>1,000 metric ton</t>
  </si>
  <si>
    <t>Argentina</t>
  </si>
  <si>
    <t>soybean crush</t>
  </si>
  <si>
    <t>soybean meal exports</t>
  </si>
  <si>
    <t>Soybean stocks</t>
  </si>
  <si>
    <t>Million bushels</t>
  </si>
  <si>
    <t xml:space="preserve">June </t>
  </si>
  <si>
    <t>Domestic use</t>
  </si>
  <si>
    <t>Soybeans</t>
  </si>
  <si>
    <t xml:space="preserve"> June-August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</si>
</sst>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_);\(#,##0.0\)"/>
    <numFmt numFmtId="170" formatCode="#,##0.0"/>
    <numFmt numFmtId="171" formatCode="[$-409]mmm\-yy;@"/>
    <numFmt numFmtId="172" formatCode="0.0000"/>
    <numFmt numFmtId="173" formatCode="[$-409]d\-mmm;@"/>
    <numFmt numFmtId="174" formatCode="0_)"/>
    <numFmt numFmtId="175" formatCode="#,##0.000"/>
    <numFmt numFmtId="176" formatCode="mmm\-yyyy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b/>
      <sz val="14"/>
      <name val="Helvetica"/>
    </font>
    <font>
      <u/>
      <sz val="8"/>
      <color indexed="12"/>
      <name val="Arial"/>
      <family val="2"/>
    </font>
    <font>
      <b/>
      <sz val="10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0" xfId="1" quotePrefix="1" applyNumberFormat="1" applyFont="1" applyBorder="1" applyAlignment="1">
      <alignment horizontal="center"/>
    </xf>
    <xf numFmtId="164" fontId="0" fillId="0" borderId="0" xfId="1" quotePrefix="1" applyNumberFormat="1" applyFont="1" applyBorder="1"/>
    <xf numFmtId="43" fontId="0" fillId="0" borderId="0" xfId="1" applyFont="1"/>
    <xf numFmtId="43" fontId="0" fillId="0" borderId="0" xfId="1" applyNumberFormat="1" applyFont="1" applyBorder="1"/>
    <xf numFmtId="43" fontId="0" fillId="0" borderId="0" xfId="1" applyFont="1" applyBorder="1"/>
    <xf numFmtId="43" fontId="0" fillId="0" borderId="0" xfId="0" applyNumberFormat="1"/>
    <xf numFmtId="0" fontId="2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7" fontId="0" fillId="0" borderId="0" xfId="0" applyNumberFormat="1"/>
    <xf numFmtId="0" fontId="5" fillId="0" borderId="0" xfId="0" applyFont="1"/>
    <xf numFmtId="0" fontId="0" fillId="0" borderId="0" xfId="0" applyProtection="1"/>
    <xf numFmtId="2" fontId="0" fillId="0" borderId="0" xfId="0" applyNumberFormat="1"/>
    <xf numFmtId="165" fontId="0" fillId="0" borderId="0" xfId="0" applyNumberFormat="1"/>
    <xf numFmtId="171" fontId="2" fillId="0" borderId="0" xfId="0" quotePrefix="1" applyNumberFormat="1" applyFont="1"/>
    <xf numFmtId="170" fontId="5" fillId="0" borderId="0" xfId="1" applyNumberFormat="1" applyFont="1" applyBorder="1" applyAlignment="1">
      <alignment horizontal="center"/>
    </xf>
    <xf numFmtId="0" fontId="2" fillId="0" borderId="0" xfId="8" applyFont="1" applyBorder="1" applyAlignment="1">
      <alignment vertical="top" wrapText="1"/>
    </xf>
    <xf numFmtId="0" fontId="2" fillId="0" borderId="0" xfId="8" applyFont="1"/>
    <xf numFmtId="0" fontId="7" fillId="0" borderId="0" xfId="7" applyFont="1" applyAlignment="1">
      <alignment horizontal="left"/>
    </xf>
    <xf numFmtId="0" fontId="8" fillId="0" borderId="0" xfId="5" applyFont="1" applyAlignment="1" applyProtection="1"/>
    <xf numFmtId="0" fontId="3" fillId="0" borderId="0" xfId="8" applyFont="1"/>
    <xf numFmtId="0" fontId="9" fillId="0" borderId="0" xfId="7" applyFont="1" applyAlignment="1">
      <alignment horizontal="left"/>
    </xf>
    <xf numFmtId="0" fontId="2" fillId="0" borderId="0" xfId="8" applyFont="1" applyFill="1"/>
    <xf numFmtId="0" fontId="2" fillId="0" borderId="0" xfId="8" quotePrefix="1" applyFont="1"/>
    <xf numFmtId="0" fontId="11" fillId="0" borderId="0" xfId="8" applyFont="1" applyFill="1"/>
    <xf numFmtId="0" fontId="2" fillId="0" borderId="0" xfId="8" applyFont="1" applyBorder="1" applyAlignment="1">
      <alignment wrapText="1"/>
    </xf>
    <xf numFmtId="0" fontId="12" fillId="0" borderId="0" xfId="8" applyFont="1"/>
    <xf numFmtId="0" fontId="6" fillId="0" borderId="0" xfId="7" quotePrefix="1" applyAlignment="1">
      <alignment horizontal="left"/>
    </xf>
    <xf numFmtId="0" fontId="4" fillId="0" borderId="0" xfId="4" applyAlignment="1" applyProtection="1"/>
    <xf numFmtId="14" fontId="9" fillId="0" borderId="0" xfId="7" applyNumberFormat="1" applyFont="1" applyAlignment="1">
      <alignment horizontal="left"/>
    </xf>
    <xf numFmtId="0" fontId="13" fillId="0" borderId="1" xfId="0" applyFont="1" applyBorder="1"/>
    <xf numFmtId="0" fontId="13" fillId="0" borderId="0" xfId="0" applyFont="1"/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right"/>
    </xf>
    <xf numFmtId="16" fontId="13" fillId="0" borderId="1" xfId="0" quotePrefix="1" applyNumberFormat="1" applyFont="1" applyBorder="1"/>
    <xf numFmtId="16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indent="1"/>
    </xf>
    <xf numFmtId="0" fontId="14" fillId="0" borderId="0" xfId="0" quotePrefix="1" applyFont="1" applyAlignment="1">
      <alignment horizontal="right"/>
    </xf>
    <xf numFmtId="167" fontId="13" fillId="0" borderId="0" xfId="0" applyNumberFormat="1" applyFont="1" applyAlignment="1">
      <alignment horizontal="center"/>
    </xf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" fontId="13" fillId="0" borderId="0" xfId="1" applyNumberFormat="1" applyFont="1" applyBorder="1" applyAlignment="1">
      <alignment horizontal="right" indent="1"/>
    </xf>
    <xf numFmtId="165" fontId="13" fillId="0" borderId="0" xfId="1" applyNumberFormat="1" applyFont="1"/>
    <xf numFmtId="164" fontId="13" fillId="0" borderId="0" xfId="1" applyNumberFormat="1" applyFont="1" applyBorder="1"/>
    <xf numFmtId="164" fontId="13" fillId="0" borderId="0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center"/>
    </xf>
    <xf numFmtId="0" fontId="14" fillId="0" borderId="3" xfId="0" quotePrefix="1" applyFont="1" applyBorder="1" applyAlignment="1"/>
    <xf numFmtId="164" fontId="13" fillId="0" borderId="0" xfId="1" quotePrefix="1" applyNumberFormat="1" applyFont="1" applyBorder="1" applyAlignment="1">
      <alignment horizontal="center"/>
    </xf>
    <xf numFmtId="170" fontId="13" fillId="0" borderId="0" xfId="1" applyNumberFormat="1" applyFont="1" applyBorder="1" applyAlignment="1">
      <alignment horizontal="right" indent="1"/>
    </xf>
    <xf numFmtId="170" fontId="13" fillId="0" borderId="0" xfId="1" applyNumberFormat="1" applyFont="1" applyBorder="1" applyAlignment="1">
      <alignment horizontal="right"/>
    </xf>
    <xf numFmtId="170" fontId="13" fillId="0" borderId="0" xfId="1" quotePrefix="1" applyNumberFormat="1" applyFont="1" applyBorder="1" applyAlignment="1">
      <alignment horizontal="right"/>
    </xf>
    <xf numFmtId="164" fontId="13" fillId="0" borderId="0" xfId="1" quotePrefix="1" applyNumberFormat="1" applyFont="1" applyAlignment="1">
      <alignment horizontal="center"/>
    </xf>
    <xf numFmtId="170" fontId="13" fillId="0" borderId="0" xfId="1" quotePrefix="1" applyNumberFormat="1" applyFont="1" applyAlignment="1">
      <alignment horizontal="right"/>
    </xf>
    <xf numFmtId="0" fontId="13" fillId="0" borderId="0" xfId="0" quotePrefix="1" applyFont="1"/>
    <xf numFmtId="170" fontId="13" fillId="0" borderId="1" xfId="1" applyNumberFormat="1" applyFont="1" applyBorder="1" applyAlignment="1">
      <alignment horizontal="right" indent="1"/>
    </xf>
    <xf numFmtId="0" fontId="15" fillId="0" borderId="0" xfId="0" applyFont="1" applyBorder="1"/>
    <xf numFmtId="164" fontId="13" fillId="0" borderId="0" xfId="0" applyNumberFormat="1" applyFont="1" applyBorder="1"/>
    <xf numFmtId="164" fontId="13" fillId="0" borderId="0" xfId="1" applyNumberFormat="1" applyFont="1"/>
    <xf numFmtId="0" fontId="14" fillId="0" borderId="0" xfId="0" applyFont="1"/>
    <xf numFmtId="14" fontId="13" fillId="0" borderId="0" xfId="0" applyNumberFormat="1" applyFont="1" applyAlignment="1">
      <alignment horizontal="left"/>
    </xf>
    <xf numFmtId="3" fontId="13" fillId="0" borderId="0" xfId="1" applyNumberFormat="1" applyFont="1" applyAlignment="1">
      <alignment horizontal="right" indent="2"/>
    </xf>
    <xf numFmtId="3" fontId="13" fillId="0" borderId="0" xfId="1" applyNumberFormat="1" applyFont="1" applyAlignment="1">
      <alignment horizontal="right" indent="1"/>
    </xf>
    <xf numFmtId="3" fontId="13" fillId="0" borderId="0" xfId="1" applyNumberFormat="1" applyFont="1" applyAlignment="1">
      <alignment horizontal="center"/>
    </xf>
    <xf numFmtId="170" fontId="13" fillId="0" borderId="0" xfId="1" applyNumberFormat="1" applyFont="1" applyBorder="1" applyAlignment="1">
      <alignment horizontal="center"/>
    </xf>
    <xf numFmtId="170" fontId="13" fillId="0" borderId="0" xfId="1" applyNumberFormat="1" applyFont="1" applyBorder="1" applyAlignment="1">
      <alignment horizontal="right" indent="2"/>
    </xf>
    <xf numFmtId="170" fontId="13" fillId="0" borderId="0" xfId="1" applyNumberFormat="1" applyFont="1" applyAlignment="1">
      <alignment horizontal="right" indent="1"/>
    </xf>
    <xf numFmtId="170" fontId="13" fillId="0" borderId="1" xfId="1" applyNumberFormat="1" applyFont="1" applyBorder="1" applyAlignment="1">
      <alignment horizontal="right" indent="2"/>
    </xf>
    <xf numFmtId="0" fontId="15" fillId="0" borderId="0" xfId="0" applyFont="1"/>
    <xf numFmtId="0" fontId="13" fillId="0" borderId="0" xfId="0" applyFont="1" applyBorder="1" applyAlignment="1">
      <alignment horizontal="center"/>
    </xf>
    <xf numFmtId="170" fontId="13" fillId="0" borderId="1" xfId="1" applyNumberFormat="1" applyFont="1" applyBorder="1" applyAlignment="1">
      <alignment horizontal="center"/>
    </xf>
    <xf numFmtId="0" fontId="13" fillId="0" borderId="3" xfId="0" applyFont="1" applyBorder="1"/>
    <xf numFmtId="0" fontId="13" fillId="0" borderId="0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/>
    <xf numFmtId="37" fontId="13" fillId="0" borderId="0" xfId="1" applyNumberFormat="1" applyFont="1" applyAlignment="1">
      <alignment horizontal="center"/>
    </xf>
    <xf numFmtId="37" fontId="13" fillId="0" borderId="0" xfId="1" applyNumberFormat="1" applyFont="1" applyAlignment="1">
      <alignment horizontal="right" indent="2"/>
    </xf>
    <xf numFmtId="37" fontId="13" fillId="0" borderId="0" xfId="1" applyNumberFormat="1" applyFont="1" applyAlignment="1">
      <alignment horizontal="right" indent="1"/>
    </xf>
    <xf numFmtId="37" fontId="13" fillId="0" borderId="1" xfId="1" applyNumberFormat="1" applyFont="1" applyBorder="1" applyAlignment="1">
      <alignment horizontal="center"/>
    </xf>
    <xf numFmtId="37" fontId="13" fillId="0" borderId="1" xfId="1" applyNumberFormat="1" applyFont="1" applyBorder="1" applyAlignment="1">
      <alignment horizontal="right" indent="2"/>
    </xf>
    <xf numFmtId="165" fontId="13" fillId="0" borderId="1" xfId="1" applyNumberFormat="1" applyFont="1" applyBorder="1"/>
    <xf numFmtId="37" fontId="13" fillId="0" borderId="1" xfId="1" applyNumberFormat="1" applyFont="1" applyBorder="1" applyAlignment="1">
      <alignment horizontal="right" indent="1"/>
    </xf>
    <xf numFmtId="37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/>
    <xf numFmtId="1" fontId="13" fillId="0" borderId="0" xfId="0" applyNumberFormat="1" applyFont="1" applyAlignment="1">
      <alignment horizontal="center"/>
    </xf>
    <xf numFmtId="37" fontId="13" fillId="0" borderId="0" xfId="1" applyNumberFormat="1" applyFont="1" applyBorder="1" applyAlignment="1">
      <alignment horizontal="right" indent="1"/>
    </xf>
    <xf numFmtId="1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65" fontId="13" fillId="0" borderId="1" xfId="1" applyNumberFormat="1" applyFont="1" applyBorder="1" applyAlignment="1">
      <alignment horizontal="right"/>
    </xf>
    <xf numFmtId="16" fontId="13" fillId="0" borderId="0" xfId="0" applyNumberFormat="1" applyFont="1" applyBorder="1"/>
    <xf numFmtId="0" fontId="14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right" indent="2"/>
    </xf>
    <xf numFmtId="43" fontId="13" fillId="0" borderId="0" xfId="1" quotePrefix="1" applyFont="1" applyBorder="1" applyAlignment="1">
      <alignment horizontal="center"/>
    </xf>
    <xf numFmtId="172" fontId="13" fillId="0" borderId="0" xfId="0" applyNumberFormat="1" applyFont="1" applyBorder="1"/>
    <xf numFmtId="43" fontId="13" fillId="0" borderId="0" xfId="1" quotePrefix="1" applyNumberFormat="1" applyFont="1" applyBorder="1" applyAlignment="1">
      <alignment horizontal="center"/>
    </xf>
    <xf numFmtId="166" fontId="13" fillId="0" borderId="0" xfId="1" quotePrefix="1" applyNumberFormat="1" applyFont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right" indent="2"/>
    </xf>
    <xf numFmtId="43" fontId="13" fillId="0" borderId="0" xfId="1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indent="1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/>
    <xf numFmtId="43" fontId="13" fillId="0" borderId="0" xfId="1" applyNumberFormat="1" applyFont="1" applyBorder="1"/>
    <xf numFmtId="43" fontId="13" fillId="0" borderId="0" xfId="0" applyNumberFormat="1" applyFont="1"/>
    <xf numFmtId="165" fontId="13" fillId="0" borderId="0" xfId="1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3" fillId="0" borderId="0" xfId="0" quotePrefix="1" applyFont="1" applyBorder="1"/>
    <xf numFmtId="43" fontId="13" fillId="0" borderId="1" xfId="1" applyFont="1" applyBorder="1" applyAlignment="1">
      <alignment horizontal="center"/>
    </xf>
    <xf numFmtId="168" fontId="13" fillId="0" borderId="0" xfId="0" applyNumberFormat="1" applyFont="1"/>
    <xf numFmtId="2" fontId="13" fillId="0" borderId="0" xfId="0" applyNumberFormat="1" applyFont="1"/>
    <xf numFmtId="2" fontId="0" fillId="0" borderId="0" xfId="0" applyNumberFormat="1" applyBorder="1" applyAlignment="1">
      <alignment wrapText="1"/>
    </xf>
    <xf numFmtId="2" fontId="13" fillId="0" borderId="0" xfId="0" applyNumberFormat="1" applyFont="1" applyBorder="1" applyAlignment="1">
      <alignment horizontal="center"/>
    </xf>
    <xf numFmtId="0" fontId="0" fillId="0" borderId="0" xfId="0" quotePrefix="1" applyAlignment="1" applyProtection="1">
      <alignment horizontal="left"/>
    </xf>
    <xf numFmtId="167" fontId="0" fillId="0" borderId="0" xfId="12" applyNumberFormat="1" applyFont="1"/>
    <xf numFmtId="0" fontId="2" fillId="0" borderId="1" xfId="0" applyFont="1" applyBorder="1"/>
    <xf numFmtId="170" fontId="13" fillId="0" borderId="1" xfId="1" applyNumberFormat="1" applyFont="1" applyBorder="1" applyAlignment="1">
      <alignment horizontal="right"/>
    </xf>
    <xf numFmtId="165" fontId="0" fillId="0" borderId="0" xfId="2" applyNumberFormat="1" applyFont="1"/>
    <xf numFmtId="43" fontId="0" fillId="0" borderId="0" xfId="2" applyNumberFormat="1" applyFont="1"/>
    <xf numFmtId="169" fontId="0" fillId="0" borderId="0" xfId="2" applyNumberFormat="1" applyFont="1"/>
    <xf numFmtId="164" fontId="0" fillId="0" borderId="0" xfId="2" applyNumberFormat="1" applyFont="1"/>
    <xf numFmtId="0" fontId="2" fillId="0" borderId="0" xfId="0" applyFont="1" applyBorder="1"/>
    <xf numFmtId="0" fontId="1" fillId="0" borderId="0" xfId="0" applyFont="1"/>
    <xf numFmtId="0" fontId="14" fillId="0" borderId="3" xfId="0" quotePrefix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  <xf numFmtId="0" fontId="0" fillId="0" borderId="2" xfId="0" applyBorder="1"/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167" fontId="1" fillId="0" borderId="0" xfId="0" applyNumberFormat="1" applyFont="1"/>
    <xf numFmtId="0" fontId="1" fillId="0" borderId="0" xfId="0" applyFont="1" applyBorder="1"/>
    <xf numFmtId="3" fontId="1" fillId="0" borderId="0" xfId="12" applyNumberFormat="1" applyFont="1"/>
    <xf numFmtId="2" fontId="1" fillId="0" borderId="0" xfId="0" applyNumberFormat="1" applyFont="1"/>
    <xf numFmtId="2" fontId="0" fillId="0" borderId="0" xfId="0" applyNumberFormat="1" applyBorder="1"/>
    <xf numFmtId="173" fontId="0" fillId="0" borderId="0" xfId="0" applyNumberFormat="1" applyBorder="1"/>
    <xf numFmtId="170" fontId="13" fillId="0" borderId="0" xfId="0" applyNumberFormat="1" applyFont="1" applyBorder="1"/>
    <xf numFmtId="174" fontId="17" fillId="0" borderId="0" xfId="0" quotePrefix="1" applyNumberFormat="1" applyFont="1" applyAlignment="1" applyProtection="1">
      <alignment horizontal="right"/>
    </xf>
    <xf numFmtId="174" fontId="0" fillId="0" borderId="0" xfId="0" quotePrefix="1" applyNumberFormat="1" applyAlignment="1" applyProtection="1">
      <alignment horizontal="right"/>
    </xf>
    <xf numFmtId="164" fontId="0" fillId="0" borderId="0" xfId="1" applyNumberFormat="1" applyFont="1" applyProtection="1"/>
    <xf numFmtId="170" fontId="0" fillId="0" borderId="0" xfId="0" applyNumberFormat="1"/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right" indent="1"/>
    </xf>
    <xf numFmtId="3" fontId="5" fillId="0" borderId="0" xfId="0" applyNumberFormat="1" applyFont="1"/>
    <xf numFmtId="9" fontId="13" fillId="0" borderId="0" xfId="12" applyFont="1"/>
    <xf numFmtId="175" fontId="5" fillId="0" borderId="0" xfId="0" applyNumberFormat="1" applyFont="1"/>
    <xf numFmtId="170" fontId="5" fillId="0" borderId="0" xfId="0" applyNumberFormat="1" applyFont="1"/>
    <xf numFmtId="164" fontId="1" fillId="0" borderId="0" xfId="1" applyNumberFormat="1" applyFont="1" applyProtection="1"/>
    <xf numFmtId="37" fontId="20" fillId="0" borderId="0" xfId="0" applyNumberFormat="1" applyFont="1"/>
    <xf numFmtId="171" fontId="1" fillId="0" borderId="0" xfId="0" applyNumberFormat="1" applyFont="1"/>
    <xf numFmtId="165" fontId="5" fillId="0" borderId="0" xfId="1" applyNumberFormat="1" applyFont="1"/>
    <xf numFmtId="165" fontId="1" fillId="0" borderId="0" xfId="1" applyNumberFormat="1" applyFont="1"/>
    <xf numFmtId="164" fontId="13" fillId="0" borderId="1" xfId="1" applyNumberFormat="1" applyFont="1" applyBorder="1" applyAlignment="1">
      <alignment horizontal="center"/>
    </xf>
    <xf numFmtId="164" fontId="13" fillId="0" borderId="1" xfId="1" quotePrefix="1" applyNumberFormat="1" applyFont="1" applyBorder="1" applyAlignment="1">
      <alignment horizontal="center"/>
    </xf>
    <xf numFmtId="43" fontId="5" fillId="0" borderId="0" xfId="1" applyNumberFormat="1" applyFont="1"/>
    <xf numFmtId="176" fontId="0" fillId="0" borderId="0" xfId="0" applyNumberFormat="1"/>
    <xf numFmtId="170" fontId="13" fillId="0" borderId="1" xfId="1" quotePrefix="1" applyNumberFormat="1" applyFont="1" applyBorder="1" applyAlignment="1">
      <alignment horizontal="right"/>
    </xf>
    <xf numFmtId="37" fontId="20" fillId="0" borderId="0" xfId="0" quotePrefix="1" applyNumberFormat="1" applyFont="1"/>
    <xf numFmtId="170" fontId="13" fillId="0" borderId="1" xfId="1" applyNumberFormat="1" applyFont="1" applyFill="1" applyBorder="1" applyAlignment="1">
      <alignment horizontal="right"/>
    </xf>
    <xf numFmtId="37" fontId="5" fillId="0" borderId="0" xfId="1" applyNumberFormat="1" applyFont="1"/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</cellXfs>
  <cellStyles count="13">
    <cellStyle name="Comma" xfId="1" builtinId="3"/>
    <cellStyle name="Comma 2" xfId="2" xr:uid="{00000000-0005-0000-0000-000001000000}"/>
    <cellStyle name="Comma 3" xfId="3" xr:uid="{00000000-0005-0000-0000-000002000000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Percent" xfId="12" builtinId="5"/>
  </cellStyles>
  <dxfs count="0"/>
  <tableStyles count="0" defaultTableStyle="TableStyleMedium9" defaultPivotStyle="PivotStyleLight16"/>
  <colors>
    <mruColors>
      <color rgb="FF0000FF"/>
      <color rgb="FFFFCF01"/>
      <color rgb="FF0066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800" b="0"/>
              <a:t>Figure 1</a:t>
            </a:r>
          </a:p>
          <a:p>
            <a:pPr algn="l">
              <a:defRPr/>
            </a:pPr>
            <a:r>
              <a:rPr lang="en-US" sz="1050" b="1" baseline="0"/>
              <a:t>First quarter U.S. soybean stocks shrink with brisk domestic and export demand</a:t>
            </a:r>
            <a:endParaRPr lang="en-US" sz="1050" b="1"/>
          </a:p>
        </c:rich>
      </c:tx>
      <c:layout>
        <c:manualLayout>
          <c:xMode val="edge"/>
          <c:yMode val="edge"/>
          <c:x val="3.8857426475536715E-2"/>
          <c:y val="1.3793990036959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40251699306819"/>
          <c:y val="0.1858876532186054"/>
          <c:w val="0.72607747510518172"/>
          <c:h val="0.655791087614470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Cover!$B$1</c:f>
              <c:strCache>
                <c:ptCount val="1"/>
                <c:pt idx="0">
                  <c:v>2018/19</c:v>
                </c:pt>
              </c:strCache>
            </c:strRef>
          </c:tx>
          <c:spPr>
            <a:pattFill prst="wd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Cover!$A$4:$A$7</c:f>
              <c:strCache>
                <c:ptCount val="4"/>
                <c:pt idx="0">
                  <c:v>December</c:v>
                </c:pt>
                <c:pt idx="1">
                  <c:v>March</c:v>
                </c:pt>
                <c:pt idx="2">
                  <c:v>June </c:v>
                </c:pt>
                <c:pt idx="3">
                  <c:v>September</c:v>
                </c:pt>
              </c:strCache>
            </c:strRef>
          </c:cat>
          <c:val>
            <c:numRef>
              <c:f>Cover!$B$4:$B$7</c:f>
              <c:numCache>
                <c:formatCode>_(* #,##0_);_(* \(#,##0\);_(* "-"??_);_(@_)</c:formatCode>
                <c:ptCount val="4"/>
                <c:pt idx="0">
                  <c:v>3745.8240000000001</c:v>
                </c:pt>
                <c:pt idx="1">
                  <c:v>2727.069</c:v>
                </c:pt>
                <c:pt idx="2">
                  <c:v>1783.08</c:v>
                </c:pt>
                <c:pt idx="3">
                  <c:v>909.05200000000002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05-47D0-B287-D695DF38B44A}"/>
            </c:ext>
          </c:extLst>
        </c:ser>
        <c:ser>
          <c:idx val="0"/>
          <c:order val="1"/>
          <c:tx>
            <c:strRef>
              <c:f>Cover!$C$1</c:f>
              <c:strCache>
                <c:ptCount val="1"/>
                <c:pt idx="0">
                  <c:v>2019/20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Cover!$A$4:$A$7</c:f>
              <c:strCache>
                <c:ptCount val="4"/>
                <c:pt idx="0">
                  <c:v>December</c:v>
                </c:pt>
                <c:pt idx="1">
                  <c:v>March</c:v>
                </c:pt>
                <c:pt idx="2">
                  <c:v>June </c:v>
                </c:pt>
                <c:pt idx="3">
                  <c:v>September</c:v>
                </c:pt>
              </c:strCache>
            </c:strRef>
          </c:cat>
          <c:val>
            <c:numRef>
              <c:f>Cover!$C$4:$C$7</c:f>
              <c:numCache>
                <c:formatCode>_(* #,##0_);_(* \(#,##0\);_(* "-"??_);_(@_)</c:formatCode>
                <c:ptCount val="4"/>
                <c:pt idx="0">
                  <c:v>3252.4879999999998</c:v>
                </c:pt>
                <c:pt idx="1">
                  <c:v>2254.8820000000001</c:v>
                </c:pt>
                <c:pt idx="2">
                  <c:v>1381.394</c:v>
                </c:pt>
                <c:pt idx="3">
                  <c:v>524.54100000000005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AD-4DD1-A14F-52517574225A}"/>
            </c:ext>
          </c:extLst>
        </c:ser>
        <c:ser>
          <c:idx val="2"/>
          <c:order val="2"/>
          <c:tx>
            <c:strRef>
              <c:f>Cover!$D$1</c:f>
              <c:strCache>
                <c:ptCount val="1"/>
                <c:pt idx="0">
                  <c:v>2020/21</c:v>
                </c:pt>
              </c:strCache>
            </c:strRef>
          </c:tx>
          <c:spPr>
            <a:pattFill prst="wdUp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Cover!$A$4:$A$7</c:f>
              <c:strCache>
                <c:ptCount val="4"/>
                <c:pt idx="0">
                  <c:v>December</c:v>
                </c:pt>
                <c:pt idx="1">
                  <c:v>March</c:v>
                </c:pt>
                <c:pt idx="2">
                  <c:v>June </c:v>
                </c:pt>
                <c:pt idx="3">
                  <c:v>September</c:v>
                </c:pt>
              </c:strCache>
            </c:strRef>
          </c:cat>
          <c:val>
            <c:numRef>
              <c:f>Cover!$D$4:$D$7</c:f>
              <c:numCache>
                <c:formatCode>_(* #,##0_);_(* \(#,##0\);_(* "-"??_);_(@_)</c:formatCode>
                <c:ptCount val="4"/>
                <c:pt idx="0">
                  <c:v>2933.3220000000001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AD-4DD1-A14F-525175742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6960144"/>
        <c:axId val="-494674736"/>
      </c:barChart>
      <c:dateAx>
        <c:axId val="-21069601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l">
                  <a:defRPr sz="800"/>
                </a:pPr>
                <a:r>
                  <a:rPr lang="en-US" sz="800"/>
                  <a:t>Source: USDA, National </a:t>
                </a:r>
                <a:r>
                  <a:rPr lang="en-US" sz="800" i="0"/>
                  <a:t>Agricultural Statistics Service</a:t>
                </a:r>
                <a:r>
                  <a:rPr lang="en-US" sz="800" i="1"/>
                  <a:t>, Grain Stocks</a:t>
                </a:r>
                <a:r>
                  <a:rPr lang="en-US" sz="800" b="0" i="1" u="none" strike="noStrike" baseline="0">
                    <a:effectLst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7.5507604818628435E-2"/>
              <c:y val="0.9461522850880754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4674736"/>
        <c:crosses val="autoZero"/>
        <c:auto val="1"/>
        <c:lblOffset val="0"/>
        <c:baseTimeUnit val="months"/>
        <c:majorTimeUnit val="months"/>
        <c:minorTimeUnit val="months"/>
      </c:dateAx>
      <c:valAx>
        <c:axId val="-494674736"/>
        <c:scaling>
          <c:orientation val="minMax"/>
          <c:max val="4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bushels</a:t>
                </a:r>
              </a:p>
            </c:rich>
          </c:tx>
          <c:layout>
            <c:manualLayout>
              <c:xMode val="edge"/>
              <c:yMode val="edge"/>
              <c:x val="3.9534457231307628E-2"/>
              <c:y val="0.12069269691803988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6960144"/>
        <c:crosses val="autoZero"/>
        <c:crossBetween val="between"/>
        <c:majorUnit val="1000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27902449693788278"/>
          <c:y val="0.8739177543785106"/>
          <c:w val="0.37268490477151894"/>
          <c:h val="7.600934790402463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800" b="0"/>
              <a:t>Figure 2</a:t>
            </a:r>
          </a:p>
          <a:p>
            <a:pPr algn="l">
              <a:defRPr/>
            </a:pPr>
            <a:r>
              <a:rPr lang="en-US" sz="1050" b="1" i="0" u="none" strike="noStrike" baseline="0">
                <a:effectLst/>
              </a:rPr>
              <a:t>Soybean use in 2020/21 to well exceed production gains</a:t>
            </a:r>
            <a:r>
              <a:rPr lang="en-US" sz="1050" b="1"/>
              <a:t> </a:t>
            </a:r>
          </a:p>
        </c:rich>
      </c:tx>
      <c:layout>
        <c:manualLayout>
          <c:xMode val="edge"/>
          <c:yMode val="edge"/>
          <c:x val="4.0994178612288851E-2"/>
          <c:y val="6.710771978244987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40251699306819"/>
          <c:y val="0.1858876532186054"/>
          <c:w val="0.72607747510518172"/>
          <c:h val="0.6557910876144708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'Oil Crops Chart Gallery Fig 1'!$C$2</c:f>
              <c:strCache>
                <c:ptCount val="1"/>
                <c:pt idx="0">
                  <c:v>Domestic use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'Oil Crops Chart Gallery Fig 1'!$A$4:$A$14</c:f>
              <c:strCache>
                <c:ptCount val="11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</c:strCache>
            </c:strRef>
          </c:cat>
          <c:val>
            <c:numRef>
              <c:f>'Oil Crops Chart Gallery Fig 1'!$C$4:$C$14</c:f>
              <c:numCache>
                <c:formatCode>#,##0_);\(#,##0\)</c:formatCode>
                <c:ptCount val="11"/>
                <c:pt idx="0">
                  <c:v>1776.6494573850323</c:v>
                </c:pt>
                <c:pt idx="1">
                  <c:v>1792.6193015189697</c:v>
                </c:pt>
                <c:pt idx="2">
                  <c:v>1783.8473297252501</c:v>
                </c:pt>
                <c:pt idx="3">
                  <c:v>1838.7881063996072</c:v>
                </c:pt>
                <c:pt idx="4">
                  <c:v>2020.5009640365465</c:v>
                </c:pt>
                <c:pt idx="5">
                  <c:v>2001.5950374011982</c:v>
                </c:pt>
                <c:pt idx="6">
                  <c:v>2047.3602362196916</c:v>
                </c:pt>
                <c:pt idx="7">
                  <c:v>2163.2032148162189</c:v>
                </c:pt>
                <c:pt idx="8">
                  <c:v>2219.4510456769112</c:v>
                </c:pt>
                <c:pt idx="9">
                  <c:v>2269.7959502582598</c:v>
                </c:pt>
                <c:pt idx="10">
                  <c:v>2325.018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B-4D91-A61F-574EBC1A1DDC}"/>
            </c:ext>
          </c:extLst>
        </c:ser>
        <c:ser>
          <c:idx val="1"/>
          <c:order val="2"/>
          <c:tx>
            <c:strRef>
              <c:f>'Oil Crops Chart Gallery Fig 1'!$D$2</c:f>
              <c:strCache>
                <c:ptCount val="1"/>
                <c:pt idx="0">
                  <c:v>Exports</c:v>
                </c:pt>
              </c:strCache>
            </c:strRef>
          </c:tx>
          <c:spPr>
            <a:pattFill prst="wdDnDiag">
              <a:fgClr>
                <a:srgbClr val="7030A0"/>
              </a:fgClr>
              <a:bgClr>
                <a:schemeClr val="bg1"/>
              </a:bgClr>
            </a:pattFill>
            <a:ln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'Oil Crops Chart Gallery Fig 1'!$A$4:$A$14</c:f>
              <c:strCache>
                <c:ptCount val="11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</c:strCache>
            </c:strRef>
          </c:cat>
          <c:val>
            <c:numRef>
              <c:f>'Oil Crops Chart Gallery Fig 1'!$D$4:$D$14</c:f>
              <c:numCache>
                <c:formatCode>#,##0_);\(#,##0\)</c:formatCode>
                <c:ptCount val="11"/>
                <c:pt idx="0">
                  <c:v>1504.9776390978</c:v>
                </c:pt>
                <c:pt idx="1">
                  <c:v>1366.3347001856096</c:v>
                </c:pt>
                <c:pt idx="2">
                  <c:v>1327.5261114637262</c:v>
                </c:pt>
                <c:pt idx="3">
                  <c:v>1638.5589397691786</c:v>
                </c:pt>
                <c:pt idx="4">
                  <c:v>1842.1747093615909</c:v>
                </c:pt>
                <c:pt idx="5">
                  <c:v>1942.6058721121312</c:v>
                </c:pt>
                <c:pt idx="6">
                  <c:v>2166.550476268204</c:v>
                </c:pt>
                <c:pt idx="7">
                  <c:v>2133.7302785852344</c:v>
                </c:pt>
                <c:pt idx="8">
                  <c:v>1751.8092298414954</c:v>
                </c:pt>
                <c:pt idx="9">
                  <c:v>1682.0227724811546</c:v>
                </c:pt>
                <c:pt idx="10">
                  <c:v>2230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B-4D91-A61F-574EBC1A1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06960144"/>
        <c:axId val="-494674736"/>
      </c:barChart>
      <c:lineChart>
        <c:grouping val="standard"/>
        <c:varyColors val="0"/>
        <c:ser>
          <c:idx val="2"/>
          <c:order val="0"/>
          <c:tx>
            <c:strRef>
              <c:f>'Oil Crops Chart Gallery Fig 1'!$B$2</c:f>
              <c:strCache>
                <c:ptCount val="1"/>
                <c:pt idx="0">
                  <c:v>Production</c:v>
                </c:pt>
              </c:strCache>
            </c:strRef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'Oil Crops Chart Gallery Fig 1'!$A$4:$A$14</c:f>
              <c:strCache>
                <c:ptCount val="11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</c:strCache>
            </c:strRef>
          </c:cat>
          <c:val>
            <c:numRef>
              <c:f>'Oil Crops Chart Gallery Fig 1'!$B$4:$B$14</c:f>
              <c:numCache>
                <c:formatCode>#,##0_);\(#,##0\)</c:formatCode>
                <c:ptCount val="11"/>
                <c:pt idx="0">
                  <c:v>3331.306</c:v>
                </c:pt>
                <c:pt idx="1">
                  <c:v>3097.1790000000001</c:v>
                </c:pt>
                <c:pt idx="2">
                  <c:v>3042.0439999999999</c:v>
                </c:pt>
                <c:pt idx="3">
                  <c:v>3357.0039999999999</c:v>
                </c:pt>
                <c:pt idx="4">
                  <c:v>3928.07</c:v>
                </c:pt>
                <c:pt idx="5">
                  <c:v>3926.779</c:v>
                </c:pt>
                <c:pt idx="6">
                  <c:v>4296.4960000000001</c:v>
                </c:pt>
                <c:pt idx="7">
                  <c:v>4411.6329999999998</c:v>
                </c:pt>
                <c:pt idx="8">
                  <c:v>4428.1499999999996</c:v>
                </c:pt>
                <c:pt idx="9">
                  <c:v>3551.9079999999999</c:v>
                </c:pt>
                <c:pt idx="10">
                  <c:v>4135.4769999999999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A1-4449-BE9C-F4FF33D3F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6960144"/>
        <c:axId val="-494674736"/>
      </c:lineChart>
      <c:dateAx>
        <c:axId val="-21069601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l">
                  <a:defRPr sz="800"/>
                </a:pPr>
                <a:r>
                  <a:rPr lang="en-US" sz="800"/>
                  <a:t>Sources: USDA, National </a:t>
                </a:r>
                <a:r>
                  <a:rPr lang="en-US" sz="800" i="0"/>
                  <a:t>Agricultural Statistics Service</a:t>
                </a:r>
                <a:r>
                  <a:rPr lang="en-US" sz="800" i="1"/>
                  <a:t>, Crop Production </a:t>
                </a:r>
                <a:r>
                  <a:rPr lang="en-US" sz="800" i="0"/>
                  <a:t>and World Agricultural</a:t>
                </a:r>
                <a:r>
                  <a:rPr lang="en-US" sz="800" i="0" baseline="0"/>
                  <a:t> Outlook Board,</a:t>
                </a:r>
                <a:r>
                  <a:rPr lang="en-US" sz="800" i="1"/>
                  <a:t> World</a:t>
                </a:r>
                <a:r>
                  <a:rPr lang="en-US" sz="800" i="1" baseline="0"/>
                  <a:t> Agricultural Supply and Demand Estimates</a:t>
                </a:r>
                <a:r>
                  <a:rPr lang="en-US" sz="800" i="1"/>
                  <a:t>.</a:t>
                </a:r>
                <a:endParaRPr lang="en-US" sz="800" b="0" i="1" u="none" strike="noStrike" baseline="0">
                  <a:effectLst/>
                </a:endParaRPr>
              </a:p>
            </c:rich>
          </c:tx>
          <c:layout>
            <c:manualLayout>
              <c:xMode val="edge"/>
              <c:yMode val="edge"/>
              <c:x val="4.5593074904098536E-2"/>
              <c:y val="0.9461522850880754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4674736"/>
        <c:crosses val="autoZero"/>
        <c:auto val="1"/>
        <c:lblOffset val="0"/>
        <c:baseTimeUnit val="months"/>
        <c:majorTimeUnit val="months"/>
        <c:minorTimeUnit val="months"/>
      </c:dateAx>
      <c:valAx>
        <c:axId val="-494674736"/>
        <c:scaling>
          <c:orientation val="minMax"/>
          <c:max val="5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bushels</a:t>
                </a:r>
              </a:p>
              <a:p>
                <a:pPr>
                  <a:defRPr sz="900"/>
                </a:pPr>
                <a:endParaRPr lang="en-US" sz="900"/>
              </a:p>
            </c:rich>
          </c:tx>
          <c:layout>
            <c:manualLayout>
              <c:xMode val="edge"/>
              <c:yMode val="edge"/>
              <c:x val="4.1671209368059757E-2"/>
              <c:y val="9.6637714100170469E-2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6960144"/>
        <c:crosses val="autoZero"/>
        <c:crossBetween val="between"/>
        <c:majorUnit val="1000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18341156874621442"/>
          <c:y val="0.89056498092377623"/>
          <c:w val="0.47651389730129889"/>
          <c:h val="5.101577508996942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800" b="0"/>
              <a:t>Figure 3</a:t>
            </a:r>
          </a:p>
          <a:p>
            <a:pPr algn="l">
              <a:defRPr/>
            </a:pPr>
            <a:r>
              <a:rPr lang="en-US" sz="1050" b="1" baseline="0"/>
              <a:t>Argentine soybean meal exports slowed by a sluggish soybean crush </a:t>
            </a:r>
            <a:endParaRPr lang="en-US" sz="1050" b="1"/>
          </a:p>
        </c:rich>
      </c:tx>
      <c:layout>
        <c:manualLayout>
          <c:xMode val="edge"/>
          <c:yMode val="edge"/>
          <c:x val="3.8857426475536715E-2"/>
          <c:y val="3.274395746627925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26576485631603"/>
          <c:y val="0.15661287329667456"/>
          <c:w val="0.72607747510518172"/>
          <c:h val="0.655791087614470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'Oil Crops Chart Gallery Fig 2'!$B$1:$B$2</c:f>
              <c:strCache>
                <c:ptCount val="2"/>
                <c:pt idx="0">
                  <c:v>2019/20</c:v>
                </c:pt>
                <c:pt idx="1">
                  <c:v>soybean crush</c:v>
                </c:pt>
              </c:strCache>
            </c:strRef>
          </c:tx>
          <c:spPr>
            <a:solidFill>
              <a:srgbClr val="FF0000"/>
            </a:solidFill>
            <a:ln cmpd="sng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'Oil Crops Chart Gallery Fig 2'!$A$4:$A$15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'Oil Crops Chart Gallery Fig 2'!$B$4:$B$15</c:f>
              <c:numCache>
                <c:formatCode>#,##0_);\(#,##0\)</c:formatCode>
                <c:ptCount val="12"/>
                <c:pt idx="0">
                  <c:v>3825.53</c:v>
                </c:pt>
                <c:pt idx="1">
                  <c:v>3977.9059999999999</c:v>
                </c:pt>
                <c:pt idx="2">
                  <c:v>4301.8490000000002</c:v>
                </c:pt>
                <c:pt idx="3">
                  <c:v>4456.6570000000002</c:v>
                </c:pt>
                <c:pt idx="4">
                  <c:v>4154.259</c:v>
                </c:pt>
                <c:pt idx="5">
                  <c:v>3153.2849999999999</c:v>
                </c:pt>
                <c:pt idx="6">
                  <c:v>3934.38</c:v>
                </c:pt>
                <c:pt idx="7">
                  <c:v>2934.14</c:v>
                </c:pt>
                <c:pt idx="8">
                  <c:v>2745.01</c:v>
                </c:pt>
                <c:pt idx="9">
                  <c:v>2321.77</c:v>
                </c:pt>
                <c:pt idx="10">
                  <c:v>2633.4920000000002</c:v>
                </c:pt>
                <c:pt idx="11">
                  <c:v>2749.9859999999999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2-40E3-B52D-20BE5FD581EB}"/>
            </c:ext>
          </c:extLst>
        </c:ser>
        <c:ser>
          <c:idx val="0"/>
          <c:order val="1"/>
          <c:tx>
            <c:strRef>
              <c:f>'Oil Crops Chart Gallery Fig 2'!$C$1:$C$2</c:f>
              <c:strCache>
                <c:ptCount val="2"/>
                <c:pt idx="0">
                  <c:v>2020/21</c:v>
                </c:pt>
                <c:pt idx="1">
                  <c:v>soybean crush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'Oil Crops Chart Gallery Fig 2'!$A$4:$A$15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'Oil Crops Chart Gallery Fig 2'!$C$4:$C$15</c:f>
              <c:numCache>
                <c:formatCode>#,##0_);\(#,##0\)</c:formatCode>
                <c:ptCount val="12"/>
                <c:pt idx="0">
                  <c:v>3667.8449999999998</c:v>
                </c:pt>
                <c:pt idx="1">
                  <c:v>4040.0120000000002</c:v>
                </c:pt>
                <c:pt idx="2">
                  <c:v>3656.81</c:v>
                </c:pt>
                <c:pt idx="3">
                  <c:v>3514.7260000000001</c:v>
                </c:pt>
                <c:pt idx="4">
                  <c:v>3431.259</c:v>
                </c:pt>
                <c:pt idx="5">
                  <c:v>3140.4749999999999</c:v>
                </c:pt>
                <c:pt idx="6">
                  <c:v>3117.2449999999999</c:v>
                </c:pt>
                <c:pt idx="7">
                  <c:v>2971.3440000000001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42-40E3-B52D-20BE5FD581EB}"/>
            </c:ext>
          </c:extLst>
        </c:ser>
        <c:ser>
          <c:idx val="1"/>
          <c:order val="2"/>
          <c:tx>
            <c:strRef>
              <c:f>'Oil Crops Chart Gallery Fig 2'!$D$1:$D$2</c:f>
              <c:strCache>
                <c:ptCount val="2"/>
                <c:pt idx="0">
                  <c:v>2019/20</c:v>
                </c:pt>
                <c:pt idx="1">
                  <c:v>soybean meal exports</c:v>
                </c:pt>
              </c:strCache>
            </c:strRef>
          </c:tx>
          <c:spPr>
            <a:pattFill prst="wd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'Oil Crops Chart Gallery Fig 2'!$A$4:$A$15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'Oil Crops Chart Gallery Fig 2'!$D$4:$D$15</c:f>
              <c:numCache>
                <c:formatCode>#,##0_);\(#,##0\)</c:formatCode>
                <c:ptCount val="12"/>
                <c:pt idx="0">
                  <c:v>2594.4419499999999</c:v>
                </c:pt>
                <c:pt idx="1">
                  <c:v>3026.023385</c:v>
                </c:pt>
                <c:pt idx="2">
                  <c:v>2842.5162869999999</c:v>
                </c:pt>
                <c:pt idx="3">
                  <c:v>3019.4598129999999</c:v>
                </c:pt>
                <c:pt idx="4">
                  <c:v>2390.8848699999999</c:v>
                </c:pt>
                <c:pt idx="5">
                  <c:v>2634.6889980000001</c:v>
                </c:pt>
                <c:pt idx="6">
                  <c:v>2975.4763710000002</c:v>
                </c:pt>
                <c:pt idx="7">
                  <c:v>2407.9405700000002</c:v>
                </c:pt>
                <c:pt idx="8">
                  <c:v>2074.3200449999999</c:v>
                </c:pt>
                <c:pt idx="9">
                  <c:v>1784.660985</c:v>
                </c:pt>
                <c:pt idx="10">
                  <c:v>1637.001475</c:v>
                </c:pt>
                <c:pt idx="11">
                  <c:v>1894.2792099999999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8-4A67-8D59-194AC8D29831}"/>
            </c:ext>
          </c:extLst>
        </c:ser>
        <c:ser>
          <c:idx val="3"/>
          <c:order val="3"/>
          <c:tx>
            <c:strRef>
              <c:f>'Oil Crops Chart Gallery Fig 2'!$E$1:$E$2</c:f>
              <c:strCache>
                <c:ptCount val="2"/>
                <c:pt idx="0">
                  <c:v>2020/21</c:v>
                </c:pt>
                <c:pt idx="1">
                  <c:v>soybean meal exports</c:v>
                </c:pt>
              </c:strCache>
            </c:strRef>
          </c:tx>
          <c:spPr>
            <a:pattFill prst="wdUpDiag">
              <a:fgClr>
                <a:srgbClr val="002060"/>
              </a:fgClr>
              <a:bgClr>
                <a:schemeClr val="bg1"/>
              </a:bgClr>
            </a:pattFill>
            <a:ln>
              <a:solidFill>
                <a:srgbClr val="00B050"/>
              </a:solidFill>
              <a:prstDash val="sysDot"/>
            </a:ln>
          </c:spPr>
          <c:invertIfNegative val="0"/>
          <c:cat>
            <c:strRef>
              <c:f>'Oil Crops Chart Gallery Fig 2'!$A$4:$A$15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'Oil Crops Chart Gallery Fig 2'!$E$4:$E$15</c:f>
              <c:numCache>
                <c:formatCode>#,##0_);\(#,##0\)</c:formatCode>
                <c:ptCount val="12"/>
                <c:pt idx="0">
                  <c:v>2269.033672</c:v>
                </c:pt>
                <c:pt idx="1">
                  <c:v>2730.1787800000002</c:v>
                </c:pt>
                <c:pt idx="2">
                  <c:v>2818.9561950000002</c:v>
                </c:pt>
                <c:pt idx="3">
                  <c:v>2255.406215</c:v>
                </c:pt>
                <c:pt idx="4">
                  <c:v>2164.5231330000001</c:v>
                </c:pt>
                <c:pt idx="5">
                  <c:v>2355.0963750000001</c:v>
                </c:pt>
                <c:pt idx="6">
                  <c:v>2210.6485379999999</c:v>
                </c:pt>
                <c:pt idx="7">
                  <c:v>2043.893544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B8-4A67-8D59-194AC8D29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6960144"/>
        <c:axId val="-494674736"/>
      </c:barChart>
      <c:dateAx>
        <c:axId val="-21069601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l">
                  <a:defRPr sz="800"/>
                </a:pPr>
                <a:r>
                  <a:rPr lang="en-US" sz="800"/>
                  <a:t>Source: Argentine Ministry</a:t>
                </a:r>
                <a:r>
                  <a:rPr lang="en-US" sz="800" baseline="0"/>
                  <a:t> of Agriculture, Livestock, and Fisheries</a:t>
                </a:r>
                <a:r>
                  <a:rPr lang="en-US" sz="800" b="0" i="1" u="none" strike="noStrike" baseline="0">
                    <a:effectLst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6.4823844134867761E-2"/>
              <c:y val="0.9553741121039692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4674736"/>
        <c:crosses val="autoZero"/>
        <c:auto val="1"/>
        <c:lblOffset val="0"/>
        <c:baseTimeUnit val="months"/>
        <c:majorTimeUnit val="months"/>
        <c:minorTimeUnit val="months"/>
      </c:dateAx>
      <c:valAx>
        <c:axId val="-494674736"/>
        <c:scaling>
          <c:orientation val="minMax"/>
          <c:max val="5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1,000 metric tons</a:t>
                </a:r>
              </a:p>
            </c:rich>
          </c:tx>
          <c:layout>
            <c:manualLayout>
              <c:xMode val="edge"/>
              <c:yMode val="edge"/>
              <c:x val="3.7397705094555485E-2"/>
              <c:y val="8.7758646721397437E-2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6960144"/>
        <c:crosses val="autoZero"/>
        <c:crossBetween val="between"/>
        <c:majorUnit val="1000"/>
        <c:minorUnit val="250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5.0932936267581934E-2"/>
          <c:y val="0.86494961625833722"/>
          <c:w val="0.84539302779460257"/>
          <c:h val="6.186343199549122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5" name="Picture 1" descr="PrintLogo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6" name="Picture 2" descr="PrintLogo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7" name="Picture 3" descr="PrintLogo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8" name="Picture 4" descr="PrintLogo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9" name="Picture 5" descr="PrintLogo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0" name="Picture 6" descr="PrintLogo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1" name="Picture 7" descr="PrintLogo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2" name="Picture 8" descr="PrintLogo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3" name="Picture 9" descr="PrintLogo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4" name="Picture 10" descr="PrintLogo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5" name="Picture 11" descr="PrintLogo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6" name="Picture 12" descr="PrintLogo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7" name="Picture 13" descr="PrintLogo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8" name="Picture 14" descr="PrintLogo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9" name="Picture 15" descr="PrintLogo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0" name="Picture 16" descr="PrintLogo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1" name="Picture 17" descr="PrintLogo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2" name="Picture 18" descr="PrintLogo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3" name="Picture 19" descr="PrintLogo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4" name="Picture 20" descr="PrintLogo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5" name="Picture 21" descr="PrintLogo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6" name="Picture 22" descr="PrintLogo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7" name="Picture 23" descr="PrintLogo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8" name="Picture 24" descr="PrintLogo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9" name="Picture 25" descr="PrintLogo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0" name="Picture 26" descr="PrintLogo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1" name="Picture 27" descr="PrintLog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2" name="Picture 28" descr="PrintLogo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3" name="Picture 29" descr="PrintLogo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4" name="Picture 30" descr="PrintLogo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5" name="Picture 31" descr="PrintLogo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6" name="Picture 32" descr="PrintLogo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7" name="Picture 33" descr="PrintLogo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8" name="Picture 34" descr="PrintLogo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9" name="Picture 35" descr="PrintLogo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0" name="Picture 36" descr="PrintLogo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1" name="Picture 37" descr="PrintLogo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2" name="Picture 38" descr="PrintLogo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3" name="Picture 39" descr="PrintLogo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4" name="Picture 40" descr="PrintLogo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5" name="Picture 41" descr="PrintLogo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6" name="Picture 42" descr="PrintLogo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7" name="Picture 2098" descr="PrintLogo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8" name="Picture 2099" descr="PrintLogo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9" name="Picture 2100" descr="PrintLogo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0" name="Picture 2101" descr="PrintLogo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1" name="Picture 2102" descr="PrintLogo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2" name="Picture 2103" descr="PrintLogo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3" name="Picture 2104" descr="PrintLogo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4" name="Picture 2105" descr="PrintLogo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82550</xdr:rowOff>
    </xdr:from>
    <xdr:to>
      <xdr:col>13</xdr:col>
      <xdr:colOff>25400</xdr:colOff>
      <xdr:row>19</xdr:row>
      <xdr:rowOff>95250</xdr:rowOff>
    </xdr:to>
    <xdr:graphicFrame macro="">
      <xdr:nvGraphicFramePr>
        <xdr:cNvPr id="4" name="Chart 4" descr="First quarter U.S. soybean stocks shrink with brisk domestic and export demand.&#10;&#10;A chart of quarterly U.S. soybean stocks.">
          <a:extLst>
            <a:ext uri="{FF2B5EF4-FFF2-40B4-BE49-F238E27FC236}">
              <a16:creationId xmlns:a16="http://schemas.microsoft.com/office/drawing/2014/main" id="{F5F4164D-CE49-4CFD-AC05-387790BBE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254000</xdr:colOff>
      <xdr:row>0</xdr:row>
      <xdr:rowOff>31750</xdr:rowOff>
    </xdr:from>
    <xdr:to>
      <xdr:col>12</xdr:col>
      <xdr:colOff>342900</xdr:colOff>
      <xdr:row>19</xdr:row>
      <xdr:rowOff>63500</xdr:rowOff>
    </xdr:to>
    <xdr:graphicFrame macro="">
      <xdr:nvGraphicFramePr>
        <xdr:cNvPr id="2" name="Chart 4" descr="Soybean use in 2020/21 to well exceed production gains.&#10;&#10;A chart of annual U.S. soybean production, domestic use, and exports.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305954</xdr:colOff>
      <xdr:row>0</xdr:row>
      <xdr:rowOff>115454</xdr:rowOff>
    </xdr:from>
    <xdr:to>
      <xdr:col>13</xdr:col>
      <xdr:colOff>592281</xdr:colOff>
      <xdr:row>22</xdr:row>
      <xdr:rowOff>30018</xdr:rowOff>
    </xdr:to>
    <xdr:graphicFrame macro="">
      <xdr:nvGraphicFramePr>
        <xdr:cNvPr id="4" name="Chart 4" descr="Argentine soybean meal exports slowed by a sluggish soybean crush.&#10;&#10;A chart of monthly Argentine soybean crush and soybean meal exports.">
          <a:extLst>
            <a:ext uri="{FF2B5EF4-FFF2-40B4-BE49-F238E27FC236}">
              <a16:creationId xmlns:a16="http://schemas.microsoft.com/office/drawing/2014/main" id="{97F26740-E702-4034-9181-201D2AFC78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8"/>
  <sheetViews>
    <sheetView workbookViewId="0">
      <selection activeCell="A5" sqref="A5"/>
    </sheetView>
  </sheetViews>
  <sheetFormatPr defaultColWidth="9.7265625" defaultRowHeight="12.5" x14ac:dyDescent="0.25"/>
  <cols>
    <col min="1" max="1" width="64.7265625" style="29" customWidth="1"/>
    <col min="2" max="16384" width="9.7265625" style="21"/>
  </cols>
  <sheetData>
    <row r="1" spans="1:3" ht="44.25" customHeight="1" x14ac:dyDescent="0.25">
      <c r="A1" s="20"/>
    </row>
    <row r="2" spans="1:3" ht="18" x14ac:dyDescent="0.4">
      <c r="A2" s="22" t="s">
        <v>109</v>
      </c>
    </row>
    <row r="3" spans="1:3" s="24" customFormat="1" ht="10" x14ac:dyDescent="0.2">
      <c r="A3" s="23"/>
    </row>
    <row r="4" spans="1:3" ht="13" x14ac:dyDescent="0.3">
      <c r="A4" s="25" t="s">
        <v>110</v>
      </c>
    </row>
    <row r="5" spans="1:3" ht="13" x14ac:dyDescent="0.3">
      <c r="A5" s="33">
        <f ca="1">TODAY()</f>
        <v>44210</v>
      </c>
      <c r="B5" s="26"/>
    </row>
    <row r="6" spans="1:3" s="24" customFormat="1" x14ac:dyDescent="0.25">
      <c r="A6" s="23"/>
      <c r="B6" s="26"/>
      <c r="C6" s="27"/>
    </row>
    <row r="7" spans="1:3" ht="13" x14ac:dyDescent="0.3">
      <c r="A7" s="32" t="s">
        <v>146</v>
      </c>
      <c r="B7" s="28"/>
      <c r="C7" s="24"/>
    </row>
    <row r="8" spans="1:3" ht="13" x14ac:dyDescent="0.3">
      <c r="A8" s="32" t="s">
        <v>147</v>
      </c>
      <c r="B8" s="30"/>
    </row>
    <row r="9" spans="1:3" ht="13" x14ac:dyDescent="0.3">
      <c r="A9" s="32" t="s">
        <v>148</v>
      </c>
      <c r="B9" s="30"/>
    </row>
    <row r="10" spans="1:3" ht="13" x14ac:dyDescent="0.3">
      <c r="A10" s="32" t="s">
        <v>149</v>
      </c>
      <c r="B10" s="30"/>
    </row>
    <row r="11" spans="1:3" ht="13" x14ac:dyDescent="0.3">
      <c r="A11" s="32" t="s">
        <v>150</v>
      </c>
      <c r="B11" s="30"/>
    </row>
    <row r="12" spans="1:3" ht="13" x14ac:dyDescent="0.3">
      <c r="A12" s="32" t="s">
        <v>151</v>
      </c>
      <c r="B12" s="30"/>
    </row>
    <row r="13" spans="1:3" ht="13" x14ac:dyDescent="0.3">
      <c r="A13" s="32" t="s">
        <v>152</v>
      </c>
      <c r="B13" s="30"/>
    </row>
    <row r="14" spans="1:3" ht="13" x14ac:dyDescent="0.3">
      <c r="A14" s="32" t="s">
        <v>45</v>
      </c>
      <c r="B14" s="30"/>
    </row>
    <row r="15" spans="1:3" ht="13" x14ac:dyDescent="0.3">
      <c r="A15" s="32" t="s">
        <v>18</v>
      </c>
      <c r="B15" s="30"/>
    </row>
    <row r="16" spans="1:3" ht="13" x14ac:dyDescent="0.3">
      <c r="A16" s="32" t="s">
        <v>37</v>
      </c>
      <c r="B16" s="30"/>
    </row>
    <row r="17" spans="1:2" ht="13" x14ac:dyDescent="0.3">
      <c r="A17" s="31" t="s">
        <v>162</v>
      </c>
      <c r="B17" s="30"/>
    </row>
    <row r="18" spans="1:2" x14ac:dyDescent="0.25">
      <c r="A18" s="31"/>
    </row>
  </sheetData>
  <hyperlinks>
    <hyperlink ref="A7" location="'Table 1'!A1" display="Table 1--Soybeans:  Annual U.S. supply and disappearance" xr:uid="{00000000-0004-0000-0000-000000000000}"/>
    <hyperlink ref="A8" location="'Table 2'!A1" display="Table 2--Soybean meal:  U.S. supply and disappearance" xr:uid="{00000000-0004-0000-0000-000001000000}"/>
    <hyperlink ref="A9" location="'Table 3'!A1" display="Table 3--Soybean oil:  U.S. supply and disappearance" xr:uid="{00000000-0004-0000-0000-000002000000}"/>
    <hyperlink ref="A10" location="'Tables 4-7'!A1" display="Table 4--Cottonseed:  U.S. supply and disappearance" xr:uid="{00000000-0004-0000-0000-000003000000}"/>
    <hyperlink ref="A11" location="'Tables 4-7'!A1" display="Table 5--Cottonseed meal:  U.S. supply and disappearance" xr:uid="{00000000-0004-0000-0000-000004000000}"/>
    <hyperlink ref="A12" location="'Tables 4-7'!A1" display="Table 6--Cottonseed oil:  U.S. supply and disappearance" xr:uid="{00000000-0004-0000-0000-000005000000}"/>
    <hyperlink ref="A13" location="'Tables 4-7'!A1" display="Table 7--Peanuts:  U.S. supply and disappearance" xr:uid="{00000000-0004-0000-0000-000006000000}"/>
    <hyperlink ref="A14" location="'Table 8'!A1" display="Table 8--Oilseed prices received by U.S. farmers" xr:uid="{00000000-0004-0000-0000-000007000000}"/>
    <hyperlink ref="A15" location="'Table 9'!A1" display="Table 9--U.S. vegetable oil and fats prices" xr:uid="{00000000-0004-0000-0000-000008000000}"/>
    <hyperlink ref="A16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53"/>
  <sheetViews>
    <sheetView workbookViewId="0">
      <selection activeCell="A2" sqref="A2"/>
    </sheetView>
  </sheetViews>
  <sheetFormatPr defaultRowHeight="12.5" x14ac:dyDescent="0.25"/>
  <cols>
    <col min="1" max="1" width="13.6328125" style="142" customWidth="1"/>
    <col min="2" max="9" width="10.7265625" style="146" customWidth="1"/>
    <col min="10" max="10" width="10.7265625" style="1" customWidth="1"/>
    <col min="12" max="12" width="10.7265625" style="16" bestFit="1" customWidth="1"/>
  </cols>
  <sheetData>
    <row r="1" spans="1:18" x14ac:dyDescent="0.25">
      <c r="A1" s="129" t="s">
        <v>178</v>
      </c>
      <c r="B1" s="129"/>
      <c r="C1" s="129"/>
      <c r="D1" s="129"/>
      <c r="E1" s="129"/>
      <c r="F1" s="129"/>
      <c r="G1" s="129"/>
      <c r="H1" s="129"/>
      <c r="K1" s="129"/>
      <c r="L1" s="120"/>
      <c r="O1" s="10"/>
      <c r="P1" s="18"/>
    </row>
    <row r="2" spans="1:18" ht="14" x14ac:dyDescent="0.3">
      <c r="A2" s="129"/>
      <c r="B2" s="35" t="s">
        <v>1</v>
      </c>
      <c r="C2" s="35" t="s">
        <v>177</v>
      </c>
      <c r="D2" s="35" t="s">
        <v>4</v>
      </c>
      <c r="E2" s="35"/>
      <c r="F2" s="129"/>
      <c r="G2" s="129"/>
      <c r="H2" s="129"/>
      <c r="I2" s="129"/>
      <c r="J2" s="129"/>
      <c r="L2" s="35"/>
    </row>
    <row r="3" spans="1:18" ht="14" x14ac:dyDescent="0.3">
      <c r="B3" s="154" t="s">
        <v>175</v>
      </c>
      <c r="D3" s="35"/>
      <c r="E3" s="35"/>
      <c r="F3" s="35"/>
      <c r="G3" s="35"/>
      <c r="H3" s="35"/>
      <c r="I3" s="35"/>
      <c r="J3" s="35"/>
      <c r="K3" s="129"/>
      <c r="L3"/>
    </row>
    <row r="4" spans="1:18" ht="15.5" x14ac:dyDescent="0.35">
      <c r="A4" s="35" t="s">
        <v>48</v>
      </c>
      <c r="B4" s="166">
        <v>3331.306</v>
      </c>
      <c r="C4" s="166">
        <v>1776.6494573850323</v>
      </c>
      <c r="D4" s="166">
        <v>1504.9776390978</v>
      </c>
      <c r="E4" s="161"/>
      <c r="F4" s="154"/>
      <c r="G4" s="129"/>
      <c r="H4" s="129"/>
      <c r="K4" s="137"/>
      <c r="L4" s="124"/>
      <c r="O4" s="126"/>
      <c r="P4" s="127"/>
    </row>
    <row r="5" spans="1:18" ht="15.5" x14ac:dyDescent="0.35">
      <c r="A5" s="35" t="s">
        <v>59</v>
      </c>
      <c r="B5" s="166">
        <v>3097.1790000000001</v>
      </c>
      <c r="C5" s="166">
        <v>1792.6193015189697</v>
      </c>
      <c r="D5" s="166">
        <v>1366.3347001856096</v>
      </c>
      <c r="E5" s="161"/>
      <c r="F5" s="153"/>
      <c r="G5" s="153"/>
      <c r="K5" s="137"/>
      <c r="L5" s="124"/>
      <c r="O5" s="126"/>
      <c r="P5" s="127"/>
    </row>
    <row r="6" spans="1:18" ht="15.5" x14ac:dyDescent="0.35">
      <c r="A6" s="35" t="s">
        <v>80</v>
      </c>
      <c r="B6" s="166">
        <v>3042.0439999999999</v>
      </c>
      <c r="C6" s="166">
        <v>1783.8473297252501</v>
      </c>
      <c r="D6" s="166">
        <v>1327.5261114637262</v>
      </c>
      <c r="E6" s="161"/>
      <c r="F6" s="153"/>
      <c r="G6" s="153"/>
      <c r="K6" s="137"/>
      <c r="L6" s="124"/>
      <c r="O6" s="126"/>
      <c r="P6" s="127"/>
    </row>
    <row r="7" spans="1:18" ht="15.5" x14ac:dyDescent="0.35">
      <c r="A7" s="35" t="s">
        <v>87</v>
      </c>
      <c r="B7" s="166">
        <v>3357.0039999999999</v>
      </c>
      <c r="C7" s="166">
        <v>1838.7881063996072</v>
      </c>
      <c r="D7" s="166">
        <v>1638.5589397691786</v>
      </c>
      <c r="E7" s="161"/>
      <c r="F7" s="153"/>
      <c r="G7" s="153"/>
      <c r="K7" s="137"/>
      <c r="L7" s="124"/>
      <c r="O7" s="126"/>
      <c r="P7" s="127"/>
    </row>
    <row r="8" spans="1:18" ht="15.5" x14ac:dyDescent="0.35">
      <c r="A8" s="35" t="s">
        <v>90</v>
      </c>
      <c r="B8" s="166">
        <v>3928.07</v>
      </c>
      <c r="C8" s="166">
        <v>2020.5009640365465</v>
      </c>
      <c r="D8" s="166">
        <v>1842.1747093615909</v>
      </c>
      <c r="E8" s="161"/>
      <c r="F8" s="153"/>
      <c r="G8" s="153"/>
      <c r="K8" s="137"/>
      <c r="L8" s="124"/>
      <c r="O8" s="126"/>
      <c r="P8" s="127"/>
    </row>
    <row r="9" spans="1:18" ht="15.5" x14ac:dyDescent="0.35">
      <c r="A9" s="35" t="s">
        <v>91</v>
      </c>
      <c r="B9" s="166">
        <v>3926.779</v>
      </c>
      <c r="C9" s="166">
        <v>2001.5950374011982</v>
      </c>
      <c r="D9" s="166">
        <v>1942.6058721121312</v>
      </c>
      <c r="E9" s="161"/>
      <c r="F9" s="153"/>
      <c r="G9" s="153"/>
      <c r="H9" s="152"/>
      <c r="K9" s="137"/>
      <c r="L9" s="124"/>
      <c r="N9" s="127"/>
      <c r="O9" s="126"/>
      <c r="P9" s="127"/>
    </row>
    <row r="10" spans="1:18" ht="15.5" x14ac:dyDescent="0.35">
      <c r="A10" s="35" t="s">
        <v>106</v>
      </c>
      <c r="B10" s="166">
        <v>4296.4960000000001</v>
      </c>
      <c r="C10" s="166">
        <v>2047.3602362196916</v>
      </c>
      <c r="D10" s="166">
        <v>2166.550476268204</v>
      </c>
      <c r="E10" s="161"/>
      <c r="F10" s="153"/>
      <c r="G10" s="153"/>
      <c r="H10" s="152"/>
      <c r="K10" s="137"/>
      <c r="L10" s="124"/>
      <c r="N10" s="127"/>
      <c r="O10" s="126"/>
      <c r="P10" s="127"/>
    </row>
    <row r="11" spans="1:18" ht="15.5" x14ac:dyDescent="0.35">
      <c r="A11" s="35" t="s">
        <v>108</v>
      </c>
      <c r="B11" s="166">
        <v>4411.6329999999998</v>
      </c>
      <c r="C11" s="166">
        <v>2163.2032148162189</v>
      </c>
      <c r="D11" s="166">
        <v>2133.7302785852344</v>
      </c>
      <c r="E11" s="161"/>
      <c r="F11" s="153"/>
      <c r="G11" s="153"/>
      <c r="H11" s="152"/>
      <c r="K11" s="137"/>
      <c r="L11" s="124"/>
      <c r="N11" s="127"/>
      <c r="O11" s="126"/>
    </row>
    <row r="12" spans="1:18" ht="15.5" x14ac:dyDescent="0.35">
      <c r="A12" s="35" t="s">
        <v>141</v>
      </c>
      <c r="B12" s="166">
        <v>4428.1499999999996</v>
      </c>
      <c r="C12" s="166">
        <v>2219.4510456769112</v>
      </c>
      <c r="D12" s="166">
        <v>1751.8092298414954</v>
      </c>
      <c r="E12" s="161"/>
      <c r="F12" s="153"/>
      <c r="G12" s="153"/>
      <c r="H12" s="152"/>
      <c r="K12" s="137"/>
      <c r="L12" s="124"/>
      <c r="N12" s="127"/>
      <c r="O12" s="126"/>
    </row>
    <row r="13" spans="1:18" ht="15.5" x14ac:dyDescent="0.35">
      <c r="A13" s="35" t="s">
        <v>145</v>
      </c>
      <c r="B13" s="166">
        <v>3551.9079999999999</v>
      </c>
      <c r="C13" s="166">
        <v>2269.7959502582598</v>
      </c>
      <c r="D13" s="166">
        <v>1682.0227724811546</v>
      </c>
      <c r="E13" s="161"/>
      <c r="F13" s="153"/>
      <c r="G13" s="153"/>
      <c r="H13" s="152"/>
      <c r="K13" s="137"/>
      <c r="L13" s="124"/>
      <c r="N13" s="127"/>
      <c r="O13" s="126"/>
    </row>
    <row r="14" spans="1:18" ht="15.5" x14ac:dyDescent="0.35">
      <c r="A14" s="35" t="s">
        <v>168</v>
      </c>
      <c r="B14" s="166">
        <v>4135.4769999999999</v>
      </c>
      <c r="C14" s="166">
        <v>2325.018</v>
      </c>
      <c r="D14" s="166">
        <v>2230</v>
      </c>
      <c r="E14" s="161"/>
      <c r="F14" s="153"/>
      <c r="G14" s="153"/>
      <c r="H14" s="152"/>
      <c r="K14" s="137"/>
      <c r="L14" s="124"/>
      <c r="N14" s="127"/>
      <c r="O14" s="126"/>
    </row>
    <row r="15" spans="1:18" ht="15.5" x14ac:dyDescent="0.35">
      <c r="A15" s="156"/>
      <c r="B15" s="161"/>
      <c r="C15" s="161"/>
      <c r="D15" s="161"/>
      <c r="E15" s="161"/>
      <c r="F15" s="153"/>
      <c r="G15" s="153"/>
      <c r="H15" s="152"/>
      <c r="K15" s="137"/>
      <c r="L15" s="127"/>
      <c r="N15" s="127"/>
    </row>
    <row r="16" spans="1:18" ht="15.5" x14ac:dyDescent="0.35">
      <c r="A16" s="156"/>
      <c r="B16" s="161"/>
      <c r="C16" s="161"/>
      <c r="D16" s="161"/>
      <c r="E16" s="161"/>
      <c r="F16" s="153"/>
      <c r="G16" s="153"/>
      <c r="H16" s="152"/>
      <c r="K16" s="125"/>
      <c r="L16" s="127"/>
      <c r="P16" s="124"/>
      <c r="Q16" s="124"/>
      <c r="R16" s="124"/>
    </row>
    <row r="17" spans="1:17" ht="15.5" x14ac:dyDescent="0.35">
      <c r="A17" s="156"/>
      <c r="B17" s="161"/>
      <c r="C17" s="161"/>
      <c r="D17" s="161"/>
      <c r="E17" s="161"/>
      <c r="F17" s="150"/>
      <c r="G17" s="150"/>
      <c r="H17" s="150"/>
      <c r="I17" s="150"/>
      <c r="J17" s="150"/>
      <c r="K17" s="125"/>
      <c r="L17" s="127"/>
      <c r="P17" s="13"/>
      <c r="Q17" s="13"/>
    </row>
    <row r="18" spans="1:17" ht="15.5" x14ac:dyDescent="0.35">
      <c r="A18" s="14"/>
      <c r="B18" s="150"/>
      <c r="C18" s="150"/>
      <c r="D18" s="150"/>
      <c r="E18" s="150"/>
      <c r="F18" s="150"/>
      <c r="G18" s="150"/>
      <c r="H18" s="150"/>
      <c r="I18" s="150"/>
      <c r="J18" s="150"/>
      <c r="K18" s="125"/>
      <c r="L18" s="127"/>
      <c r="N18" s="126"/>
      <c r="O18" s="126"/>
      <c r="P18" s="13"/>
      <c r="Q18" s="13"/>
    </row>
    <row r="19" spans="1:17" ht="15.5" x14ac:dyDescent="0.35">
      <c r="A19" s="14"/>
      <c r="B19" s="150"/>
      <c r="C19" s="150"/>
      <c r="D19" s="150"/>
      <c r="E19" s="150"/>
      <c r="F19" s="150"/>
      <c r="G19" s="150"/>
      <c r="H19" s="150"/>
      <c r="I19" s="150"/>
      <c r="J19" s="150"/>
      <c r="K19" s="125"/>
      <c r="L19" s="127"/>
      <c r="N19" s="9"/>
      <c r="O19" s="126"/>
      <c r="P19" s="13"/>
      <c r="Q19" s="13"/>
    </row>
    <row r="20" spans="1:17" ht="15.5" x14ac:dyDescent="0.35">
      <c r="A20" s="35"/>
      <c r="B20" s="150"/>
      <c r="C20" s="150"/>
      <c r="D20" s="150"/>
      <c r="E20" s="150"/>
      <c r="F20" s="150"/>
      <c r="G20" s="150"/>
      <c r="H20" s="150"/>
      <c r="I20" s="150"/>
      <c r="J20" s="150"/>
      <c r="K20" s="125"/>
      <c r="L20" s="127"/>
      <c r="N20" s="9"/>
      <c r="O20" s="126"/>
      <c r="P20" s="13"/>
      <c r="Q20" s="13"/>
    </row>
    <row r="21" spans="1:17" ht="15.5" x14ac:dyDescent="0.35">
      <c r="A21" s="35"/>
      <c r="B21" s="150"/>
      <c r="C21" s="150"/>
      <c r="D21" s="150"/>
      <c r="E21" s="150"/>
      <c r="F21" s="150"/>
      <c r="G21" s="150"/>
      <c r="H21" s="150"/>
      <c r="I21" s="150"/>
      <c r="J21" s="150"/>
      <c r="K21" s="125"/>
      <c r="L21" s="127"/>
      <c r="N21" s="9"/>
      <c r="O21" s="126"/>
      <c r="P21" s="13"/>
      <c r="Q21" s="13"/>
    </row>
    <row r="22" spans="1:17" ht="15.5" x14ac:dyDescent="0.35">
      <c r="B22" s="150"/>
      <c r="C22" s="150"/>
      <c r="D22" s="150"/>
      <c r="E22" s="150"/>
      <c r="F22" s="150"/>
      <c r="G22" s="150"/>
      <c r="H22" s="150"/>
      <c r="I22" s="150"/>
      <c r="J22" s="150"/>
      <c r="K22" s="125"/>
      <c r="L22" s="127"/>
      <c r="N22" s="9"/>
      <c r="O22" s="126"/>
      <c r="P22" s="13"/>
      <c r="Q22" s="13"/>
    </row>
    <row r="23" spans="1:17" ht="15.5" x14ac:dyDescent="0.35">
      <c r="A23" s="144"/>
      <c r="B23" s="150"/>
      <c r="C23" s="150"/>
      <c r="D23" s="150"/>
      <c r="E23" s="150"/>
      <c r="F23" s="150"/>
      <c r="G23" s="150"/>
      <c r="H23" s="150"/>
      <c r="I23" s="150"/>
      <c r="J23" s="150"/>
      <c r="K23" s="125"/>
      <c r="L23" s="9"/>
      <c r="N23" s="9"/>
      <c r="O23" s="126"/>
      <c r="P23" s="13"/>
      <c r="Q23" s="13"/>
    </row>
    <row r="24" spans="1:17" ht="15.5" x14ac:dyDescent="0.35">
      <c r="A24" s="144"/>
      <c r="B24" s="150"/>
      <c r="C24" s="150"/>
      <c r="D24" s="150"/>
      <c r="E24" s="150"/>
      <c r="F24" s="150"/>
      <c r="G24" s="150"/>
      <c r="H24" s="150"/>
      <c r="I24" s="150"/>
      <c r="J24" s="150"/>
      <c r="K24" s="125"/>
      <c r="L24" s="9"/>
      <c r="N24" s="9"/>
      <c r="O24" s="126"/>
      <c r="P24" s="13"/>
      <c r="Q24" s="13"/>
    </row>
    <row r="25" spans="1:17" ht="15.5" x14ac:dyDescent="0.35">
      <c r="A25" s="144"/>
      <c r="B25" s="150"/>
      <c r="C25" s="150"/>
      <c r="D25" s="150"/>
      <c r="E25" s="150"/>
      <c r="F25" s="150"/>
      <c r="G25" s="150"/>
      <c r="H25" s="150"/>
      <c r="I25" s="150"/>
      <c r="J25" s="150"/>
      <c r="K25" s="125"/>
      <c r="L25" s="9"/>
      <c r="N25" s="9"/>
      <c r="O25" s="126"/>
      <c r="P25" s="13"/>
      <c r="Q25" s="13"/>
    </row>
    <row r="26" spans="1:17" ht="15.5" x14ac:dyDescent="0.35">
      <c r="A26" s="144"/>
      <c r="B26" s="150"/>
      <c r="C26" s="150"/>
      <c r="D26" s="150"/>
      <c r="E26" s="150"/>
      <c r="F26" s="150"/>
      <c r="G26" s="150"/>
      <c r="H26" s="150"/>
      <c r="I26" s="150"/>
      <c r="J26" s="150"/>
      <c r="K26" s="125"/>
      <c r="L26" s="9"/>
      <c r="N26" s="9"/>
      <c r="O26" s="126"/>
      <c r="P26" s="13"/>
      <c r="Q26" s="13"/>
    </row>
    <row r="27" spans="1:17" ht="15.5" x14ac:dyDescent="0.35">
      <c r="A27" s="144"/>
      <c r="B27" s="150"/>
      <c r="C27" s="150"/>
      <c r="D27" s="150"/>
      <c r="E27" s="150"/>
      <c r="F27" s="150"/>
      <c r="G27" s="150"/>
      <c r="H27" s="150"/>
      <c r="I27" s="150"/>
      <c r="J27" s="150"/>
      <c r="K27" s="125"/>
      <c r="L27" s="9"/>
      <c r="N27" s="9"/>
      <c r="O27" s="126"/>
      <c r="P27" s="13"/>
      <c r="Q27" s="13"/>
    </row>
    <row r="28" spans="1:17" ht="15.5" x14ac:dyDescent="0.35">
      <c r="A28" s="144"/>
      <c r="B28" s="150"/>
      <c r="C28" s="150"/>
      <c r="D28" s="150"/>
      <c r="E28" s="150"/>
      <c r="F28" s="150"/>
      <c r="G28" s="150"/>
      <c r="H28" s="150"/>
      <c r="I28" s="150"/>
      <c r="J28" s="150"/>
      <c r="K28" s="125"/>
      <c r="L28" s="9"/>
      <c r="N28" s="9"/>
      <c r="O28" s="126"/>
      <c r="P28" s="13"/>
      <c r="Q28" s="13"/>
    </row>
    <row r="29" spans="1:17" ht="15.5" x14ac:dyDescent="0.35">
      <c r="A29" s="144"/>
      <c r="B29" s="150"/>
      <c r="C29" s="150"/>
      <c r="D29" s="150"/>
      <c r="E29" s="150"/>
      <c r="F29" s="150"/>
      <c r="G29" s="150"/>
      <c r="H29" s="150"/>
      <c r="I29" s="150"/>
      <c r="J29" s="150"/>
      <c r="K29" s="125"/>
      <c r="L29" s="9"/>
      <c r="N29" s="9"/>
      <c r="O29" s="126"/>
    </row>
    <row r="30" spans="1:17" x14ac:dyDescent="0.25">
      <c r="A30" s="144"/>
      <c r="J30" s="140"/>
      <c r="K30" s="9"/>
      <c r="L30" s="9"/>
      <c r="N30" s="9"/>
      <c r="O30" s="126"/>
    </row>
    <row r="31" spans="1:17" x14ac:dyDescent="0.25">
      <c r="A31" s="144"/>
      <c r="J31" s="140"/>
      <c r="K31" s="126"/>
      <c r="L31" s="126"/>
      <c r="N31" s="126"/>
      <c r="O31" s="126"/>
    </row>
    <row r="32" spans="1:17" x14ac:dyDescent="0.25">
      <c r="A32" s="144"/>
      <c r="J32" s="140"/>
      <c r="K32" s="126"/>
      <c r="L32" s="126"/>
      <c r="N32" s="126"/>
      <c r="O32" s="126"/>
    </row>
    <row r="33" spans="1:15" x14ac:dyDescent="0.25">
      <c r="A33" s="144"/>
      <c r="J33" s="140"/>
      <c r="K33" s="126"/>
      <c r="L33" s="126"/>
      <c r="N33" s="126"/>
      <c r="O33" s="126"/>
    </row>
    <row r="34" spans="1:15" x14ac:dyDescent="0.25">
      <c r="A34" s="144"/>
      <c r="J34" s="140"/>
      <c r="K34" s="13"/>
      <c r="L34" s="13"/>
      <c r="N34" s="13"/>
    </row>
    <row r="35" spans="1:15" x14ac:dyDescent="0.25">
      <c r="A35" s="144"/>
      <c r="J35" s="140"/>
      <c r="K35" s="13"/>
      <c r="L35" s="13"/>
      <c r="N35" s="13"/>
    </row>
    <row r="36" spans="1:15" x14ac:dyDescent="0.25">
      <c r="A36" s="144"/>
      <c r="J36" s="140"/>
      <c r="K36" s="13"/>
      <c r="L36" s="13"/>
      <c r="N36" s="13"/>
    </row>
    <row r="37" spans="1:15" x14ac:dyDescent="0.25">
      <c r="A37" s="144"/>
      <c r="J37" s="140"/>
      <c r="K37" s="13"/>
      <c r="L37" s="13"/>
      <c r="N37" s="13"/>
    </row>
    <row r="38" spans="1:15" x14ac:dyDescent="0.25">
      <c r="A38" s="144"/>
      <c r="J38" s="140"/>
      <c r="K38" s="13"/>
      <c r="L38" s="13"/>
      <c r="N38" s="13"/>
    </row>
    <row r="39" spans="1:15" x14ac:dyDescent="0.25">
      <c r="A39" s="144"/>
      <c r="J39" s="140"/>
      <c r="K39" s="13"/>
      <c r="L39" s="13"/>
      <c r="N39" s="13"/>
    </row>
    <row r="40" spans="1:15" x14ac:dyDescent="0.25">
      <c r="A40" s="144"/>
      <c r="J40" s="140"/>
      <c r="K40" s="13"/>
      <c r="L40" s="13"/>
      <c r="N40" s="13"/>
    </row>
    <row r="41" spans="1:15" x14ac:dyDescent="0.25">
      <c r="A41" s="144"/>
      <c r="J41" s="140"/>
      <c r="K41" s="13"/>
      <c r="L41" s="13"/>
      <c r="N41" s="13"/>
    </row>
    <row r="42" spans="1:15" x14ac:dyDescent="0.25">
      <c r="A42" s="144"/>
      <c r="J42" s="140"/>
      <c r="K42" s="13"/>
      <c r="L42" s="13"/>
      <c r="N42" s="13"/>
    </row>
    <row r="43" spans="1:15" x14ac:dyDescent="0.25">
      <c r="A43" s="144"/>
      <c r="J43" s="140"/>
      <c r="K43" s="13"/>
      <c r="L43" s="13"/>
      <c r="N43" s="13"/>
    </row>
    <row r="44" spans="1:15" x14ac:dyDescent="0.25">
      <c r="A44" s="144"/>
      <c r="J44" s="118"/>
      <c r="L44" s="118"/>
    </row>
    <row r="45" spans="1:15" x14ac:dyDescent="0.25">
      <c r="A45" s="144"/>
      <c r="J45" s="118"/>
      <c r="L45" s="118"/>
    </row>
    <row r="46" spans="1:15" x14ac:dyDescent="0.25">
      <c r="A46" s="144"/>
      <c r="J46" s="118"/>
      <c r="L46" s="118"/>
    </row>
    <row r="47" spans="1:15" x14ac:dyDescent="0.25">
      <c r="A47" s="144"/>
      <c r="J47" s="118"/>
      <c r="L47" s="118"/>
    </row>
    <row r="48" spans="1:15" x14ac:dyDescent="0.25">
      <c r="A48" s="144"/>
      <c r="J48" s="118"/>
      <c r="L48" s="118"/>
    </row>
    <row r="49" spans="1:12" x14ac:dyDescent="0.25">
      <c r="A49" s="144"/>
      <c r="J49" s="118"/>
      <c r="L49" s="118"/>
    </row>
    <row r="50" spans="1:12" x14ac:dyDescent="0.25">
      <c r="A50" s="144"/>
      <c r="J50" s="118"/>
      <c r="L50" s="118"/>
    </row>
    <row r="51" spans="1:12" x14ac:dyDescent="0.25">
      <c r="A51" s="145"/>
      <c r="J51" s="118"/>
      <c r="L51" s="118"/>
    </row>
    <row r="52" spans="1:12" x14ac:dyDescent="0.25">
      <c r="A52" s="145"/>
      <c r="J52" s="118"/>
      <c r="L52" s="118"/>
    </row>
    <row r="53" spans="1:12" x14ac:dyDescent="0.25">
      <c r="A53" s="145"/>
      <c r="J53" s="118"/>
      <c r="L53" s="118"/>
    </row>
    <row r="54" spans="1:12" x14ac:dyDescent="0.25">
      <c r="A54" s="145"/>
      <c r="J54" s="118"/>
      <c r="L54" s="118"/>
    </row>
    <row r="55" spans="1:12" x14ac:dyDescent="0.25">
      <c r="A55" s="145"/>
      <c r="J55" s="118"/>
      <c r="L55" s="118"/>
    </row>
    <row r="56" spans="1:12" x14ac:dyDescent="0.25">
      <c r="A56" s="145"/>
      <c r="J56" s="118"/>
      <c r="L56" s="118"/>
    </row>
    <row r="57" spans="1:12" x14ac:dyDescent="0.25">
      <c r="A57" s="145"/>
      <c r="J57" s="118"/>
      <c r="L57" s="118"/>
    </row>
    <row r="58" spans="1:12" x14ac:dyDescent="0.25">
      <c r="A58" s="145"/>
      <c r="J58" s="118"/>
      <c r="L58" s="118"/>
    </row>
    <row r="59" spans="1:12" x14ac:dyDescent="0.25">
      <c r="A59" s="145"/>
      <c r="J59" s="118"/>
      <c r="L59" s="118"/>
    </row>
    <row r="60" spans="1:12" x14ac:dyDescent="0.25">
      <c r="A60" s="145"/>
      <c r="J60" s="118"/>
      <c r="L60" s="118"/>
    </row>
    <row r="61" spans="1:12" x14ac:dyDescent="0.25">
      <c r="A61" s="145"/>
      <c r="J61" s="118"/>
      <c r="L61" s="118"/>
    </row>
    <row r="62" spans="1:12" x14ac:dyDescent="0.25">
      <c r="A62" s="145"/>
      <c r="J62" s="118"/>
      <c r="L62" s="118"/>
    </row>
    <row r="63" spans="1:12" x14ac:dyDescent="0.25">
      <c r="A63" s="145"/>
      <c r="J63" s="118"/>
      <c r="L63" s="118"/>
    </row>
    <row r="64" spans="1:12" x14ac:dyDescent="0.25">
      <c r="A64" s="145"/>
      <c r="J64" s="118"/>
      <c r="L64" s="118"/>
    </row>
    <row r="65" spans="1:12" x14ac:dyDescent="0.25">
      <c r="A65" s="145"/>
      <c r="J65" s="118"/>
      <c r="L65" s="118"/>
    </row>
    <row r="66" spans="1:12" x14ac:dyDescent="0.25">
      <c r="A66" s="145"/>
      <c r="J66" s="118"/>
      <c r="L66" s="118"/>
    </row>
    <row r="67" spans="1:12" x14ac:dyDescent="0.25">
      <c r="A67" s="145"/>
      <c r="J67" s="118"/>
      <c r="L67" s="118"/>
    </row>
    <row r="68" spans="1:12" x14ac:dyDescent="0.25">
      <c r="A68" s="145"/>
      <c r="J68" s="118"/>
      <c r="L68" s="118"/>
    </row>
    <row r="69" spans="1:12" x14ac:dyDescent="0.25">
      <c r="A69" s="145"/>
      <c r="J69" s="118"/>
      <c r="L69" s="118"/>
    </row>
    <row r="70" spans="1:12" x14ac:dyDescent="0.25">
      <c r="A70" s="145"/>
      <c r="J70" s="118"/>
      <c r="L70" s="118"/>
    </row>
    <row r="71" spans="1:12" x14ac:dyDescent="0.25">
      <c r="A71" s="145"/>
      <c r="J71" s="118"/>
      <c r="L71" s="118"/>
    </row>
    <row r="72" spans="1:12" x14ac:dyDescent="0.25">
      <c r="A72" s="145"/>
      <c r="J72" s="118"/>
      <c r="L72" s="118"/>
    </row>
    <row r="73" spans="1:12" x14ac:dyDescent="0.25">
      <c r="A73" s="145"/>
      <c r="J73" s="118"/>
      <c r="L73" s="118"/>
    </row>
    <row r="74" spans="1:12" x14ac:dyDescent="0.25">
      <c r="A74" s="145"/>
      <c r="J74" s="118"/>
      <c r="L74" s="118"/>
    </row>
    <row r="75" spans="1:12" x14ac:dyDescent="0.25">
      <c r="A75" s="145"/>
      <c r="J75" s="118"/>
      <c r="L75" s="118"/>
    </row>
    <row r="76" spans="1:12" x14ac:dyDescent="0.25">
      <c r="A76" s="145"/>
      <c r="J76" s="118"/>
      <c r="L76" s="118"/>
    </row>
    <row r="77" spans="1:12" x14ac:dyDescent="0.25">
      <c r="A77" s="145"/>
      <c r="J77" s="118"/>
      <c r="L77" s="118"/>
    </row>
    <row r="78" spans="1:12" x14ac:dyDescent="0.25">
      <c r="A78" s="145"/>
      <c r="J78" s="118"/>
      <c r="L78" s="118"/>
    </row>
    <row r="79" spans="1:12" x14ac:dyDescent="0.25">
      <c r="A79" s="145"/>
      <c r="J79" s="118"/>
      <c r="L79" s="118"/>
    </row>
    <row r="80" spans="1:12" x14ac:dyDescent="0.25">
      <c r="A80" s="145"/>
      <c r="J80" s="118"/>
      <c r="L80" s="118"/>
    </row>
    <row r="81" spans="1:12" x14ac:dyDescent="0.25">
      <c r="A81" s="145"/>
      <c r="J81" s="118"/>
      <c r="L81" s="118"/>
    </row>
    <row r="82" spans="1:12" x14ac:dyDescent="0.25">
      <c r="A82" s="145"/>
      <c r="J82" s="118"/>
      <c r="L82" s="118"/>
    </row>
    <row r="83" spans="1:12" x14ac:dyDescent="0.25">
      <c r="A83" s="145"/>
      <c r="J83" s="118"/>
      <c r="L83" s="118"/>
    </row>
    <row r="84" spans="1:12" x14ac:dyDescent="0.25">
      <c r="A84" s="145"/>
      <c r="J84" s="118"/>
      <c r="L84" s="118"/>
    </row>
    <row r="85" spans="1:12" x14ac:dyDescent="0.25">
      <c r="A85" s="145"/>
      <c r="J85" s="118"/>
      <c r="L85" s="118"/>
    </row>
    <row r="86" spans="1:12" x14ac:dyDescent="0.25">
      <c r="A86" s="145"/>
      <c r="J86" s="118"/>
      <c r="L86" s="118"/>
    </row>
    <row r="87" spans="1:12" x14ac:dyDescent="0.25">
      <c r="A87" s="145"/>
      <c r="J87" s="118"/>
      <c r="L87" s="118"/>
    </row>
    <row r="88" spans="1:12" x14ac:dyDescent="0.25">
      <c r="A88" s="145"/>
      <c r="J88" s="118"/>
      <c r="L88" s="118"/>
    </row>
    <row r="89" spans="1:12" x14ac:dyDescent="0.25">
      <c r="A89" s="145"/>
      <c r="J89" s="118"/>
      <c r="L89" s="118"/>
    </row>
    <row r="90" spans="1:12" x14ac:dyDescent="0.25">
      <c r="A90" s="145"/>
      <c r="J90" s="118"/>
      <c r="L90" s="118"/>
    </row>
    <row r="91" spans="1:12" x14ac:dyDescent="0.25">
      <c r="A91" s="145"/>
      <c r="J91" s="118"/>
      <c r="L91" s="118"/>
    </row>
    <row r="92" spans="1:12" x14ac:dyDescent="0.25">
      <c r="A92" s="145"/>
      <c r="J92" s="118"/>
      <c r="L92" s="118"/>
    </row>
    <row r="93" spans="1:12" x14ac:dyDescent="0.25">
      <c r="A93" s="145"/>
      <c r="J93" s="118"/>
      <c r="L93" s="118"/>
    </row>
    <row r="94" spans="1:12" x14ac:dyDescent="0.25">
      <c r="A94" s="145"/>
      <c r="J94" s="118"/>
      <c r="L94" s="118"/>
    </row>
    <row r="95" spans="1:12" x14ac:dyDescent="0.25">
      <c r="A95" s="145"/>
      <c r="J95" s="118"/>
      <c r="L95" s="118"/>
    </row>
    <row r="96" spans="1:12" x14ac:dyDescent="0.25">
      <c r="A96" s="145"/>
      <c r="J96" s="118"/>
      <c r="L96" s="118"/>
    </row>
    <row r="97" spans="1:12" x14ac:dyDescent="0.25">
      <c r="A97" s="145"/>
      <c r="J97" s="118"/>
      <c r="L97" s="118"/>
    </row>
    <row r="98" spans="1:12" x14ac:dyDescent="0.25">
      <c r="A98" s="145"/>
      <c r="J98" s="118"/>
      <c r="L98" s="118"/>
    </row>
    <row r="99" spans="1:12" x14ac:dyDescent="0.25">
      <c r="A99" s="145"/>
      <c r="J99" s="118"/>
      <c r="L99" s="118"/>
    </row>
    <row r="100" spans="1:12" x14ac:dyDescent="0.25">
      <c r="A100" s="145"/>
      <c r="J100" s="118"/>
      <c r="L100" s="118"/>
    </row>
    <row r="101" spans="1:12" x14ac:dyDescent="0.25">
      <c r="A101" s="145"/>
      <c r="J101" s="118"/>
      <c r="L101" s="118"/>
    </row>
    <row r="102" spans="1:12" x14ac:dyDescent="0.25">
      <c r="A102" s="145"/>
      <c r="J102" s="118"/>
      <c r="L102" s="118"/>
    </row>
    <row r="103" spans="1:12" x14ac:dyDescent="0.25">
      <c r="A103" s="145"/>
      <c r="J103" s="118"/>
      <c r="L103" s="118"/>
    </row>
    <row r="104" spans="1:12" x14ac:dyDescent="0.25">
      <c r="A104" s="145"/>
      <c r="J104" s="118"/>
      <c r="L104" s="118"/>
    </row>
    <row r="105" spans="1:12" x14ac:dyDescent="0.25">
      <c r="A105" s="145"/>
      <c r="J105" s="118"/>
      <c r="L105" s="118"/>
    </row>
    <row r="106" spans="1:12" x14ac:dyDescent="0.25">
      <c r="A106" s="145"/>
      <c r="J106" s="118"/>
      <c r="L106" s="118"/>
    </row>
    <row r="107" spans="1:12" x14ac:dyDescent="0.25">
      <c r="A107" s="145"/>
      <c r="J107" s="118"/>
      <c r="L107" s="118"/>
    </row>
    <row r="108" spans="1:12" x14ac:dyDescent="0.25">
      <c r="A108" s="145"/>
      <c r="J108" s="118"/>
      <c r="L108" s="118"/>
    </row>
    <row r="109" spans="1:12" x14ac:dyDescent="0.25">
      <c r="A109" s="145"/>
      <c r="J109" s="118"/>
      <c r="L109" s="118"/>
    </row>
    <row r="110" spans="1:12" x14ac:dyDescent="0.25">
      <c r="A110" s="145"/>
      <c r="J110" s="118"/>
      <c r="L110" s="118"/>
    </row>
    <row r="111" spans="1:12" x14ac:dyDescent="0.25">
      <c r="A111" s="145"/>
      <c r="J111" s="118"/>
      <c r="L111" s="118"/>
    </row>
    <row r="112" spans="1:12" x14ac:dyDescent="0.25">
      <c r="A112" s="145"/>
      <c r="J112" s="118"/>
      <c r="L112" s="118"/>
    </row>
    <row r="113" spans="1:12" x14ac:dyDescent="0.25">
      <c r="A113" s="145"/>
      <c r="J113" s="118"/>
      <c r="L113" s="118"/>
    </row>
    <row r="114" spans="1:12" x14ac:dyDescent="0.25">
      <c r="A114" s="145"/>
      <c r="J114" s="118"/>
      <c r="L114" s="118"/>
    </row>
    <row r="115" spans="1:12" x14ac:dyDescent="0.25">
      <c r="A115" s="145"/>
      <c r="J115" s="118"/>
      <c r="L115" s="118"/>
    </row>
    <row r="116" spans="1:12" x14ac:dyDescent="0.25">
      <c r="A116" s="145"/>
      <c r="J116" s="118"/>
      <c r="L116" s="118"/>
    </row>
    <row r="117" spans="1:12" x14ac:dyDescent="0.25">
      <c r="A117" s="145"/>
      <c r="J117" s="118"/>
      <c r="L117" s="118"/>
    </row>
    <row r="118" spans="1:12" x14ac:dyDescent="0.25">
      <c r="A118" s="145"/>
      <c r="J118" s="118"/>
      <c r="L118" s="118"/>
    </row>
    <row r="119" spans="1:12" x14ac:dyDescent="0.25">
      <c r="A119" s="145"/>
      <c r="J119" s="118"/>
      <c r="L119" s="118"/>
    </row>
    <row r="120" spans="1:12" x14ac:dyDescent="0.25">
      <c r="A120" s="145"/>
      <c r="J120" s="118"/>
      <c r="L120" s="118"/>
    </row>
    <row r="121" spans="1:12" x14ac:dyDescent="0.25">
      <c r="A121" s="145"/>
      <c r="J121" s="118"/>
      <c r="L121" s="118"/>
    </row>
    <row r="122" spans="1:12" x14ac:dyDescent="0.25">
      <c r="A122" s="145"/>
      <c r="J122" s="118"/>
      <c r="L122" s="118"/>
    </row>
    <row r="123" spans="1:12" x14ac:dyDescent="0.25">
      <c r="A123" s="145"/>
      <c r="J123" s="118"/>
      <c r="L123" s="118"/>
    </row>
    <row r="124" spans="1:12" x14ac:dyDescent="0.25">
      <c r="A124" s="145"/>
      <c r="J124" s="118"/>
      <c r="L124" s="118"/>
    </row>
    <row r="125" spans="1:12" x14ac:dyDescent="0.25">
      <c r="A125" s="145"/>
      <c r="J125" s="118"/>
      <c r="L125" s="118"/>
    </row>
    <row r="126" spans="1:12" x14ac:dyDescent="0.25">
      <c r="A126" s="145"/>
      <c r="J126" s="118"/>
      <c r="L126" s="118"/>
    </row>
    <row r="127" spans="1:12" x14ac:dyDescent="0.25">
      <c r="A127" s="145"/>
      <c r="J127" s="118"/>
      <c r="L127" s="118"/>
    </row>
    <row r="128" spans="1:12" x14ac:dyDescent="0.25">
      <c r="A128" s="145"/>
      <c r="J128" s="118"/>
      <c r="L128" s="118"/>
    </row>
    <row r="129" spans="1:12" x14ac:dyDescent="0.25">
      <c r="A129" s="145"/>
      <c r="J129" s="118"/>
      <c r="L129" s="118"/>
    </row>
    <row r="130" spans="1:12" x14ac:dyDescent="0.25">
      <c r="A130" s="145"/>
      <c r="J130" s="118"/>
      <c r="L130" s="118"/>
    </row>
    <row r="131" spans="1:12" x14ac:dyDescent="0.25">
      <c r="A131" s="145"/>
      <c r="J131" s="118"/>
    </row>
    <row r="132" spans="1:12" x14ac:dyDescent="0.25">
      <c r="A132" s="145"/>
      <c r="J132" s="118"/>
      <c r="L132" s="118"/>
    </row>
    <row r="133" spans="1:12" x14ac:dyDescent="0.25">
      <c r="A133" s="145"/>
      <c r="J133" s="118"/>
      <c r="L133" s="118"/>
    </row>
    <row r="134" spans="1:12" x14ac:dyDescent="0.25">
      <c r="A134" s="145"/>
      <c r="J134" s="118"/>
      <c r="L134" s="118"/>
    </row>
    <row r="135" spans="1:12" x14ac:dyDescent="0.25">
      <c r="A135" s="145"/>
      <c r="J135" s="118"/>
      <c r="L135" s="118"/>
    </row>
    <row r="136" spans="1:12" x14ac:dyDescent="0.25">
      <c r="A136" s="145"/>
      <c r="J136" s="118"/>
      <c r="L136" s="118"/>
    </row>
    <row r="137" spans="1:12" x14ac:dyDescent="0.25">
      <c r="A137" s="145"/>
      <c r="J137" s="118"/>
      <c r="L137" s="118"/>
    </row>
    <row r="138" spans="1:12" x14ac:dyDescent="0.25">
      <c r="A138" s="145"/>
      <c r="J138" s="118"/>
      <c r="L138" s="118"/>
    </row>
    <row r="139" spans="1:12" x14ac:dyDescent="0.25">
      <c r="A139" s="145"/>
      <c r="J139" s="118"/>
      <c r="L139" s="118"/>
    </row>
    <row r="140" spans="1:12" x14ac:dyDescent="0.25">
      <c r="A140" s="145"/>
      <c r="J140" s="118"/>
      <c r="L140" s="118"/>
    </row>
    <row r="141" spans="1:12" x14ac:dyDescent="0.25">
      <c r="A141" s="145"/>
      <c r="J141" s="118"/>
      <c r="L141" s="118"/>
    </row>
    <row r="142" spans="1:12" x14ac:dyDescent="0.25">
      <c r="A142" s="145"/>
      <c r="J142" s="118"/>
      <c r="L142" s="118"/>
    </row>
    <row r="143" spans="1:12" x14ac:dyDescent="0.25">
      <c r="A143" s="145"/>
      <c r="J143" s="118"/>
      <c r="L143" s="118"/>
    </row>
    <row r="144" spans="1:12" x14ac:dyDescent="0.25">
      <c r="A144" s="145"/>
      <c r="J144" s="118"/>
      <c r="L144" s="118"/>
    </row>
    <row r="145" spans="1:12" x14ac:dyDescent="0.25">
      <c r="A145" s="145"/>
      <c r="J145" s="118"/>
      <c r="L145" s="118"/>
    </row>
    <row r="146" spans="1:12" x14ac:dyDescent="0.25">
      <c r="A146" s="145"/>
      <c r="J146" s="118"/>
      <c r="L146" s="118"/>
    </row>
    <row r="147" spans="1:12" x14ac:dyDescent="0.25">
      <c r="A147" s="145"/>
      <c r="J147" s="118"/>
      <c r="L147" s="118"/>
    </row>
    <row r="148" spans="1:12" x14ac:dyDescent="0.25">
      <c r="A148" s="145"/>
      <c r="J148" s="118"/>
      <c r="L148" s="118"/>
    </row>
    <row r="149" spans="1:12" x14ac:dyDescent="0.25">
      <c r="A149" s="145"/>
      <c r="J149" s="118"/>
      <c r="L149" s="118"/>
    </row>
    <row r="150" spans="1:12" x14ac:dyDescent="0.25">
      <c r="A150" s="145"/>
      <c r="J150" s="118"/>
      <c r="L150" s="118"/>
    </row>
    <row r="151" spans="1:12" x14ac:dyDescent="0.25">
      <c r="A151" s="145"/>
      <c r="J151" s="118"/>
      <c r="L151" s="118"/>
    </row>
    <row r="152" spans="1:12" x14ac:dyDescent="0.25">
      <c r="A152" s="145"/>
      <c r="J152" s="118"/>
      <c r="L152" s="118"/>
    </row>
    <row r="153" spans="1:12" x14ac:dyDescent="0.25">
      <c r="A153" s="145"/>
      <c r="J153" s="118"/>
      <c r="L153" s="118"/>
    </row>
    <row r="154" spans="1:12" x14ac:dyDescent="0.25">
      <c r="A154" s="145"/>
      <c r="J154" s="118"/>
      <c r="L154" s="118"/>
    </row>
    <row r="155" spans="1:12" x14ac:dyDescent="0.25">
      <c r="A155" s="145"/>
      <c r="J155" s="118"/>
      <c r="L155" s="118"/>
    </row>
    <row r="156" spans="1:12" x14ac:dyDescent="0.25">
      <c r="A156" s="145"/>
      <c r="J156" s="118"/>
      <c r="L156" s="118"/>
    </row>
    <row r="157" spans="1:12" x14ac:dyDescent="0.25">
      <c r="A157" s="145"/>
      <c r="J157" s="118"/>
      <c r="L157" s="118"/>
    </row>
    <row r="158" spans="1:12" x14ac:dyDescent="0.25">
      <c r="A158" s="145"/>
      <c r="J158" s="118"/>
    </row>
    <row r="159" spans="1:12" x14ac:dyDescent="0.25">
      <c r="A159" s="145"/>
      <c r="J159" s="118"/>
      <c r="L159" s="118"/>
    </row>
    <row r="160" spans="1:12" x14ac:dyDescent="0.25">
      <c r="A160" s="145"/>
      <c r="J160" s="118"/>
      <c r="L160" s="118"/>
    </row>
    <row r="161" spans="1:12" x14ac:dyDescent="0.25">
      <c r="A161" s="145"/>
      <c r="J161" s="118"/>
      <c r="L161" s="118"/>
    </row>
    <row r="162" spans="1:12" x14ac:dyDescent="0.25">
      <c r="A162" s="145"/>
      <c r="J162" s="118"/>
      <c r="L162" s="118"/>
    </row>
    <row r="163" spans="1:12" x14ac:dyDescent="0.25">
      <c r="A163" s="145"/>
      <c r="J163" s="118"/>
      <c r="L163" s="118"/>
    </row>
    <row r="164" spans="1:12" x14ac:dyDescent="0.25">
      <c r="A164" s="145"/>
      <c r="J164" s="118"/>
      <c r="L164" s="118"/>
    </row>
    <row r="165" spans="1:12" x14ac:dyDescent="0.25">
      <c r="A165" s="145"/>
      <c r="J165" s="118"/>
      <c r="L165" s="118"/>
    </row>
    <row r="166" spans="1:12" x14ac:dyDescent="0.25">
      <c r="A166" s="145"/>
      <c r="J166" s="118"/>
      <c r="L166" s="118"/>
    </row>
    <row r="167" spans="1:12" x14ac:dyDescent="0.25">
      <c r="A167" s="145"/>
      <c r="J167" s="118"/>
      <c r="L167" s="118"/>
    </row>
    <row r="168" spans="1:12" x14ac:dyDescent="0.25">
      <c r="A168" s="145"/>
      <c r="J168" s="118"/>
    </row>
    <row r="169" spans="1:12" x14ac:dyDescent="0.25">
      <c r="A169" s="145"/>
      <c r="J169" s="118"/>
      <c r="L169" s="118"/>
    </row>
    <row r="170" spans="1:12" x14ac:dyDescent="0.25">
      <c r="A170" s="145"/>
      <c r="J170" s="118"/>
      <c r="L170" s="118"/>
    </row>
    <row r="171" spans="1:12" x14ac:dyDescent="0.25">
      <c r="A171" s="145"/>
      <c r="J171" s="118"/>
      <c r="L171" s="118"/>
    </row>
    <row r="172" spans="1:12" x14ac:dyDescent="0.25">
      <c r="A172" s="145"/>
      <c r="J172" s="118"/>
      <c r="L172" s="118"/>
    </row>
    <row r="173" spans="1:12" x14ac:dyDescent="0.25">
      <c r="A173" s="145"/>
      <c r="J173" s="118"/>
      <c r="L173" s="118"/>
    </row>
    <row r="174" spans="1:12" x14ac:dyDescent="0.25">
      <c r="A174" s="145"/>
      <c r="J174" s="118"/>
      <c r="L174" s="118"/>
    </row>
    <row r="175" spans="1:12" x14ac:dyDescent="0.25">
      <c r="A175" s="145"/>
      <c r="J175" s="118"/>
      <c r="L175" s="118"/>
    </row>
    <row r="176" spans="1:12" x14ac:dyDescent="0.25">
      <c r="A176" s="145"/>
      <c r="J176" s="118"/>
      <c r="L176" s="118"/>
    </row>
    <row r="177" spans="1:12" x14ac:dyDescent="0.25">
      <c r="A177" s="145"/>
      <c r="J177" s="118"/>
      <c r="L177" s="118"/>
    </row>
    <row r="178" spans="1:12" x14ac:dyDescent="0.25">
      <c r="A178" s="145"/>
      <c r="J178" s="118"/>
      <c r="L178" s="118"/>
    </row>
    <row r="179" spans="1:12" x14ac:dyDescent="0.25">
      <c r="A179" s="145"/>
      <c r="J179" s="118"/>
      <c r="L179" s="118"/>
    </row>
    <row r="180" spans="1:12" x14ac:dyDescent="0.25">
      <c r="A180" s="145"/>
      <c r="J180" s="118"/>
      <c r="L180" s="118"/>
    </row>
    <row r="181" spans="1:12" x14ac:dyDescent="0.25">
      <c r="A181" s="145"/>
      <c r="J181" s="118"/>
      <c r="L181" s="118"/>
    </row>
    <row r="182" spans="1:12" x14ac:dyDescent="0.25">
      <c r="A182" s="145"/>
      <c r="J182" s="118"/>
      <c r="L182" s="118"/>
    </row>
    <row r="183" spans="1:12" x14ac:dyDescent="0.25">
      <c r="A183" s="145"/>
      <c r="J183" s="118"/>
      <c r="L183" s="118"/>
    </row>
    <row r="184" spans="1:12" x14ac:dyDescent="0.25">
      <c r="A184" s="145"/>
      <c r="J184" s="118"/>
      <c r="L184" s="118"/>
    </row>
    <row r="185" spans="1:12" x14ac:dyDescent="0.25">
      <c r="A185" s="145"/>
      <c r="J185" s="118"/>
      <c r="L185" s="118"/>
    </row>
    <row r="186" spans="1:12" x14ac:dyDescent="0.25">
      <c r="A186" s="145"/>
      <c r="J186" s="118"/>
      <c r="L186" s="118"/>
    </row>
    <row r="187" spans="1:12" x14ac:dyDescent="0.25">
      <c r="A187" s="145"/>
      <c r="J187" s="118"/>
      <c r="L187" s="118"/>
    </row>
    <row r="188" spans="1:12" x14ac:dyDescent="0.25">
      <c r="A188" s="145"/>
      <c r="J188" s="118"/>
      <c r="L188" s="118"/>
    </row>
    <row r="189" spans="1:12" x14ac:dyDescent="0.25">
      <c r="A189" s="145"/>
      <c r="J189" s="118"/>
      <c r="L189" s="118"/>
    </row>
    <row r="190" spans="1:12" x14ac:dyDescent="0.25">
      <c r="A190" s="145"/>
      <c r="J190" s="118"/>
      <c r="L190" s="118"/>
    </row>
    <row r="191" spans="1:12" x14ac:dyDescent="0.25">
      <c r="A191" s="145"/>
      <c r="J191" s="118"/>
      <c r="L191" s="118"/>
    </row>
    <row r="192" spans="1:12" x14ac:dyDescent="0.25">
      <c r="A192" s="145"/>
      <c r="J192" s="118"/>
      <c r="L192" s="118"/>
    </row>
    <row r="193" spans="1:12" x14ac:dyDescent="0.25">
      <c r="A193" s="145"/>
      <c r="J193" s="118"/>
      <c r="L193" s="118"/>
    </row>
    <row r="194" spans="1:12" x14ac:dyDescent="0.25">
      <c r="A194" s="145"/>
      <c r="J194" s="118"/>
      <c r="L194" s="118"/>
    </row>
    <row r="195" spans="1:12" x14ac:dyDescent="0.25">
      <c r="A195" s="145"/>
      <c r="J195" s="118"/>
      <c r="L195" s="118"/>
    </row>
    <row r="196" spans="1:12" x14ac:dyDescent="0.25">
      <c r="A196" s="145"/>
      <c r="J196" s="118"/>
      <c r="L196" s="118"/>
    </row>
    <row r="197" spans="1:12" x14ac:dyDescent="0.25">
      <c r="A197" s="145"/>
      <c r="J197" s="118"/>
      <c r="L197" s="118"/>
    </row>
    <row r="198" spans="1:12" x14ac:dyDescent="0.25">
      <c r="A198" s="145"/>
      <c r="J198" s="118"/>
      <c r="L198" s="118"/>
    </row>
    <row r="199" spans="1:12" x14ac:dyDescent="0.25">
      <c r="A199" s="145"/>
      <c r="J199" s="118"/>
      <c r="L199" s="118"/>
    </row>
    <row r="200" spans="1:12" x14ac:dyDescent="0.25">
      <c r="A200" s="145"/>
      <c r="J200" s="118"/>
      <c r="L200" s="118"/>
    </row>
    <row r="201" spans="1:12" x14ac:dyDescent="0.25">
      <c r="A201" s="145"/>
      <c r="J201" s="118"/>
      <c r="L201" s="118"/>
    </row>
    <row r="202" spans="1:12" x14ac:dyDescent="0.25">
      <c r="A202" s="145"/>
      <c r="J202" s="118"/>
      <c r="L202" s="118"/>
    </row>
    <row r="203" spans="1:12" x14ac:dyDescent="0.25">
      <c r="A203" s="145"/>
      <c r="J203" s="118"/>
      <c r="L203" s="118"/>
    </row>
    <row r="204" spans="1:12" x14ac:dyDescent="0.25">
      <c r="A204" s="145"/>
      <c r="J204" s="118"/>
      <c r="L204" s="118"/>
    </row>
    <row r="205" spans="1:12" x14ac:dyDescent="0.25">
      <c r="A205" s="145"/>
      <c r="J205" s="118"/>
      <c r="L205" s="118"/>
    </row>
    <row r="206" spans="1:12" x14ac:dyDescent="0.25">
      <c r="A206" s="145"/>
      <c r="J206" s="118"/>
      <c r="L206" s="118"/>
    </row>
    <row r="207" spans="1:12" x14ac:dyDescent="0.25">
      <c r="A207" s="145"/>
      <c r="J207" s="118"/>
      <c r="L207" s="118"/>
    </row>
    <row r="208" spans="1:12" x14ac:dyDescent="0.25">
      <c r="A208" s="145"/>
      <c r="J208" s="118"/>
      <c r="L208" s="118"/>
    </row>
    <row r="209" spans="1:12" x14ac:dyDescent="0.25">
      <c r="A209" s="145"/>
      <c r="J209" s="118"/>
      <c r="L209" s="118"/>
    </row>
    <row r="210" spans="1:12" x14ac:dyDescent="0.25">
      <c r="A210" s="145"/>
      <c r="J210" s="118"/>
      <c r="L210" s="118"/>
    </row>
    <row r="211" spans="1:12" x14ac:dyDescent="0.25">
      <c r="A211" s="145"/>
      <c r="J211" s="118"/>
      <c r="L211" s="118"/>
    </row>
    <row r="212" spans="1:12" x14ac:dyDescent="0.25">
      <c r="A212" s="145"/>
      <c r="J212" s="118"/>
      <c r="L212" s="118"/>
    </row>
    <row r="213" spans="1:12" x14ac:dyDescent="0.25">
      <c r="A213" s="145"/>
      <c r="J213" s="118"/>
      <c r="L213" s="118"/>
    </row>
    <row r="214" spans="1:12" x14ac:dyDescent="0.25">
      <c r="A214" s="145"/>
      <c r="J214" s="118"/>
      <c r="L214" s="118"/>
    </row>
    <row r="215" spans="1:12" x14ac:dyDescent="0.25">
      <c r="A215" s="145"/>
      <c r="J215" s="118"/>
    </row>
    <row r="216" spans="1:12" x14ac:dyDescent="0.25">
      <c r="A216" s="145"/>
      <c r="J216" s="118"/>
    </row>
    <row r="217" spans="1:12" x14ac:dyDescent="0.25">
      <c r="A217" s="145"/>
      <c r="J217" s="118"/>
    </row>
    <row r="218" spans="1:12" x14ac:dyDescent="0.25">
      <c r="A218" s="145"/>
      <c r="J218" s="118"/>
    </row>
    <row r="219" spans="1:12" x14ac:dyDescent="0.25">
      <c r="A219" s="145"/>
      <c r="J219" s="141"/>
    </row>
    <row r="220" spans="1:12" x14ac:dyDescent="0.25">
      <c r="A220" s="145"/>
      <c r="J220" s="141"/>
    </row>
    <row r="221" spans="1:12" x14ac:dyDescent="0.25">
      <c r="A221" s="145"/>
      <c r="J221" s="141"/>
    </row>
    <row r="222" spans="1:12" x14ac:dyDescent="0.25">
      <c r="A222" s="145"/>
      <c r="J222" s="141"/>
    </row>
    <row r="223" spans="1:12" x14ac:dyDescent="0.25">
      <c r="A223" s="145"/>
      <c r="J223" s="141"/>
    </row>
    <row r="224" spans="1:12" x14ac:dyDescent="0.25">
      <c r="A224" s="145"/>
      <c r="J224" s="141"/>
    </row>
    <row r="225" spans="1:10" x14ac:dyDescent="0.25">
      <c r="A225" s="145"/>
      <c r="J225" s="141"/>
    </row>
    <row r="226" spans="1:10" x14ac:dyDescent="0.25">
      <c r="A226" s="145"/>
      <c r="J226" s="141"/>
    </row>
    <row r="227" spans="1:10" x14ac:dyDescent="0.25">
      <c r="A227" s="145"/>
      <c r="J227" s="141"/>
    </row>
    <row r="228" spans="1:10" x14ac:dyDescent="0.25">
      <c r="A228" s="145"/>
      <c r="J228" s="141"/>
    </row>
    <row r="229" spans="1:10" x14ac:dyDescent="0.25">
      <c r="A229" s="145"/>
      <c r="J229" s="141"/>
    </row>
    <row r="230" spans="1:10" x14ac:dyDescent="0.25">
      <c r="A230" s="145"/>
      <c r="J230" s="141"/>
    </row>
    <row r="231" spans="1:10" x14ac:dyDescent="0.25">
      <c r="A231" s="145"/>
      <c r="J231" s="141"/>
    </row>
    <row r="232" spans="1:10" x14ac:dyDescent="0.25">
      <c r="A232" s="145"/>
      <c r="J232" s="141"/>
    </row>
    <row r="233" spans="1:10" x14ac:dyDescent="0.25">
      <c r="A233" s="145"/>
      <c r="J233" s="141"/>
    </row>
    <row r="234" spans="1:10" x14ac:dyDescent="0.25">
      <c r="A234" s="145"/>
      <c r="J234" s="141"/>
    </row>
    <row r="235" spans="1:10" x14ac:dyDescent="0.25">
      <c r="A235" s="145"/>
      <c r="J235" s="141"/>
    </row>
    <row r="236" spans="1:10" x14ac:dyDescent="0.25">
      <c r="A236" s="145"/>
      <c r="J236" s="141"/>
    </row>
    <row r="237" spans="1:10" x14ac:dyDescent="0.25">
      <c r="A237" s="145"/>
      <c r="J237" s="141"/>
    </row>
    <row r="238" spans="1:10" x14ac:dyDescent="0.25">
      <c r="A238" s="145"/>
      <c r="J238" s="141"/>
    </row>
    <row r="239" spans="1:10" x14ac:dyDescent="0.25">
      <c r="A239" s="145"/>
      <c r="J239" s="141"/>
    </row>
    <row r="240" spans="1:10" x14ac:dyDescent="0.25">
      <c r="A240" s="145"/>
      <c r="J240" s="141"/>
    </row>
    <row r="241" spans="1:10" x14ac:dyDescent="0.25">
      <c r="A241" s="145"/>
      <c r="J241" s="141"/>
    </row>
    <row r="242" spans="1:10" x14ac:dyDescent="0.25">
      <c r="A242" s="145"/>
      <c r="J242" s="141"/>
    </row>
    <row r="243" spans="1:10" x14ac:dyDescent="0.25">
      <c r="A243" s="145"/>
      <c r="J243" s="141"/>
    </row>
    <row r="244" spans="1:10" x14ac:dyDescent="0.25">
      <c r="A244" s="145"/>
      <c r="J244" s="141"/>
    </row>
    <row r="245" spans="1:10" x14ac:dyDescent="0.25">
      <c r="A245" s="145"/>
      <c r="J245" s="141"/>
    </row>
    <row r="246" spans="1:10" x14ac:dyDescent="0.25">
      <c r="A246" s="145"/>
      <c r="J246" s="141"/>
    </row>
    <row r="247" spans="1:10" x14ac:dyDescent="0.25">
      <c r="A247" s="145"/>
      <c r="J247" s="141"/>
    </row>
    <row r="248" spans="1:10" x14ac:dyDescent="0.25">
      <c r="A248" s="145"/>
      <c r="J248" s="141"/>
    </row>
    <row r="249" spans="1:10" x14ac:dyDescent="0.25">
      <c r="A249" s="145"/>
      <c r="J249" s="141"/>
    </row>
    <row r="250" spans="1:10" x14ac:dyDescent="0.25">
      <c r="A250" s="145"/>
      <c r="J250" s="141"/>
    </row>
    <row r="251" spans="1:10" x14ac:dyDescent="0.25">
      <c r="A251" s="145"/>
      <c r="J251" s="141"/>
    </row>
    <row r="252" spans="1:10" x14ac:dyDescent="0.25">
      <c r="A252" s="145"/>
      <c r="J252" s="141"/>
    </row>
    <row r="253" spans="1:10" x14ac:dyDescent="0.25">
      <c r="A253" s="145"/>
    </row>
  </sheetData>
  <phoneticPr fontId="19" type="noConversion"/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H243"/>
  <sheetViews>
    <sheetView zoomScale="110" zoomScaleNormal="110" workbookViewId="0">
      <selection activeCell="A2" sqref="A2"/>
    </sheetView>
  </sheetViews>
  <sheetFormatPr defaultRowHeight="12.5" x14ac:dyDescent="0.25"/>
  <cols>
    <col min="1" max="1" width="10.54296875" customWidth="1"/>
    <col min="2" max="5" width="8.7265625" style="155" customWidth="1"/>
    <col min="6" max="11" width="10.54296875" customWidth="1"/>
  </cols>
  <sheetData>
    <row r="1" spans="1:8" x14ac:dyDescent="0.25">
      <c r="A1" s="155" t="s">
        <v>171</v>
      </c>
      <c r="B1" s="164" t="s">
        <v>145</v>
      </c>
      <c r="C1" s="164" t="s">
        <v>168</v>
      </c>
      <c r="D1" s="164" t="s">
        <v>145</v>
      </c>
      <c r="E1" s="164" t="s">
        <v>168</v>
      </c>
      <c r="F1" s="129"/>
      <c r="H1" s="13"/>
    </row>
    <row r="2" spans="1:8" x14ac:dyDescent="0.25">
      <c r="B2" s="155" t="s">
        <v>172</v>
      </c>
      <c r="C2" s="155" t="s">
        <v>172</v>
      </c>
      <c r="D2" s="155" t="s">
        <v>173</v>
      </c>
      <c r="E2" s="155" t="s">
        <v>173</v>
      </c>
      <c r="F2" s="139"/>
      <c r="H2" s="13"/>
    </row>
    <row r="3" spans="1:8" x14ac:dyDescent="0.25">
      <c r="B3" s="155" t="s">
        <v>170</v>
      </c>
      <c r="C3" s="155" t="s">
        <v>170</v>
      </c>
      <c r="D3" s="155" t="s">
        <v>170</v>
      </c>
      <c r="E3" s="155" t="s">
        <v>170</v>
      </c>
      <c r="F3" s="121"/>
      <c r="H3" s="13"/>
    </row>
    <row r="4" spans="1:8" x14ac:dyDescent="0.25">
      <c r="A4" s="162" t="s">
        <v>56</v>
      </c>
      <c r="B4" s="155">
        <v>3825.53</v>
      </c>
      <c r="C4" s="155">
        <v>3667.8449999999998</v>
      </c>
      <c r="D4" s="155">
        <v>2594.4419499999999</v>
      </c>
      <c r="E4" s="155">
        <v>2269.033672</v>
      </c>
      <c r="F4" s="121"/>
    </row>
    <row r="5" spans="1:8" x14ac:dyDescent="0.25">
      <c r="A5" s="162" t="s">
        <v>57</v>
      </c>
      <c r="B5" s="155">
        <v>3977.9059999999999</v>
      </c>
      <c r="C5" s="155">
        <v>4040.0120000000002</v>
      </c>
      <c r="D5" s="155">
        <v>3026.023385</v>
      </c>
      <c r="E5" s="155">
        <v>2730.1787800000002</v>
      </c>
      <c r="F5" s="121"/>
    </row>
    <row r="6" spans="1:8" x14ac:dyDescent="0.25">
      <c r="A6" s="162" t="s">
        <v>58</v>
      </c>
      <c r="B6" s="155">
        <v>4301.8490000000002</v>
      </c>
      <c r="C6" s="155">
        <v>3656.81</v>
      </c>
      <c r="D6" s="155">
        <v>2842.5162869999999</v>
      </c>
      <c r="E6" s="155">
        <v>2818.9561950000002</v>
      </c>
      <c r="F6" s="121"/>
    </row>
    <row r="7" spans="1:8" x14ac:dyDescent="0.25">
      <c r="A7" s="162" t="s">
        <v>60</v>
      </c>
      <c r="B7" s="155">
        <v>4456.6570000000002</v>
      </c>
      <c r="C7" s="155">
        <v>3514.7260000000001</v>
      </c>
      <c r="D7" s="155">
        <v>3019.4598129999999</v>
      </c>
      <c r="E7" s="155">
        <v>2255.406215</v>
      </c>
      <c r="F7" s="121"/>
    </row>
    <row r="8" spans="1:8" x14ac:dyDescent="0.25">
      <c r="A8" s="162" t="s">
        <v>61</v>
      </c>
      <c r="B8" s="155">
        <v>4154.259</v>
      </c>
      <c r="C8" s="155">
        <v>3431.259</v>
      </c>
      <c r="D8" s="155">
        <v>2390.8848699999999</v>
      </c>
      <c r="E8" s="155">
        <v>2164.5231330000001</v>
      </c>
      <c r="F8" s="121"/>
    </row>
    <row r="9" spans="1:8" x14ac:dyDescent="0.25">
      <c r="A9" s="162" t="s">
        <v>63</v>
      </c>
      <c r="B9" s="155">
        <v>3153.2849999999999</v>
      </c>
      <c r="C9" s="155">
        <v>3140.4749999999999</v>
      </c>
      <c r="D9" s="155">
        <v>2634.6889980000001</v>
      </c>
      <c r="E9" s="155">
        <v>2355.0963750000001</v>
      </c>
      <c r="F9" s="121"/>
    </row>
    <row r="10" spans="1:8" x14ac:dyDescent="0.25">
      <c r="A10" s="162" t="s">
        <v>50</v>
      </c>
      <c r="B10" s="155">
        <v>3934.38</v>
      </c>
      <c r="C10" s="155">
        <v>3117.2449999999999</v>
      </c>
      <c r="D10" s="155">
        <v>2975.4763710000002</v>
      </c>
      <c r="E10" s="155">
        <v>2210.6485379999999</v>
      </c>
      <c r="F10" s="121"/>
    </row>
    <row r="11" spans="1:8" x14ac:dyDescent="0.25">
      <c r="A11" s="162" t="s">
        <v>51</v>
      </c>
      <c r="B11" s="155">
        <v>2934.14</v>
      </c>
      <c r="C11" s="155">
        <v>2971.3440000000001</v>
      </c>
      <c r="D11" s="155">
        <v>2407.9405700000002</v>
      </c>
      <c r="E11" s="155">
        <v>2043.893544</v>
      </c>
      <c r="F11" s="121"/>
    </row>
    <row r="12" spans="1:8" x14ac:dyDescent="0.25">
      <c r="A12" s="162" t="s">
        <v>52</v>
      </c>
      <c r="B12" s="155">
        <v>2745.01</v>
      </c>
      <c r="D12" s="155">
        <v>2074.3200449999999</v>
      </c>
      <c r="F12" s="121"/>
    </row>
    <row r="13" spans="1:8" x14ac:dyDescent="0.25">
      <c r="A13" s="162" t="s">
        <v>53</v>
      </c>
      <c r="B13" s="155">
        <v>2321.77</v>
      </c>
      <c r="D13" s="155">
        <v>1784.660985</v>
      </c>
      <c r="F13" s="121"/>
    </row>
    <row r="14" spans="1:8" x14ac:dyDescent="0.25">
      <c r="A14" s="162" t="s">
        <v>54</v>
      </c>
      <c r="B14" s="155">
        <v>2633.4920000000002</v>
      </c>
      <c r="D14" s="155">
        <v>1637.001475</v>
      </c>
      <c r="F14" s="121"/>
    </row>
    <row r="15" spans="1:8" x14ac:dyDescent="0.25">
      <c r="A15" s="162" t="s">
        <v>55</v>
      </c>
      <c r="B15" s="155">
        <v>2749.9859999999999</v>
      </c>
      <c r="D15" s="155">
        <v>1894.2792099999999</v>
      </c>
      <c r="F15" s="121"/>
    </row>
    <row r="16" spans="1:8" x14ac:dyDescent="0.25">
      <c r="A16" s="162"/>
    </row>
    <row r="17" spans="1:1" x14ac:dyDescent="0.25">
      <c r="A17" s="162"/>
    </row>
    <row r="18" spans="1:1" x14ac:dyDescent="0.25">
      <c r="A18" s="162"/>
    </row>
    <row r="19" spans="1:1" x14ac:dyDescent="0.25">
      <c r="A19" s="162"/>
    </row>
    <row r="20" spans="1:1" x14ac:dyDescent="0.25">
      <c r="A20" s="162"/>
    </row>
    <row r="21" spans="1:1" x14ac:dyDescent="0.25">
      <c r="A21" s="162"/>
    </row>
    <row r="22" spans="1:1" x14ac:dyDescent="0.25">
      <c r="A22" s="162"/>
    </row>
    <row r="23" spans="1:1" x14ac:dyDescent="0.25">
      <c r="A23" s="162"/>
    </row>
    <row r="24" spans="1:1" x14ac:dyDescent="0.25">
      <c r="A24" s="162"/>
    </row>
    <row r="25" spans="1:1" x14ac:dyDescent="0.25">
      <c r="A25" s="162"/>
    </row>
    <row r="26" spans="1:1" x14ac:dyDescent="0.25">
      <c r="A26" s="162"/>
    </row>
    <row r="27" spans="1:1" x14ac:dyDescent="0.25">
      <c r="A27" s="162"/>
    </row>
    <row r="28" spans="1:1" x14ac:dyDescent="0.25">
      <c r="A28" s="162"/>
    </row>
    <row r="29" spans="1:1" x14ac:dyDescent="0.25">
      <c r="A29" s="162"/>
    </row>
    <row r="30" spans="1:1" x14ac:dyDescent="0.25">
      <c r="A30" s="162"/>
    </row>
    <row r="31" spans="1:1" x14ac:dyDescent="0.25">
      <c r="A31" s="162"/>
    </row>
    <row r="32" spans="1:1" x14ac:dyDescent="0.25">
      <c r="A32" s="162"/>
    </row>
    <row r="33" spans="1:1" x14ac:dyDescent="0.25">
      <c r="A33" s="162"/>
    </row>
    <row r="34" spans="1:1" x14ac:dyDescent="0.25">
      <c r="A34" s="162"/>
    </row>
    <row r="35" spans="1:1" x14ac:dyDescent="0.25">
      <c r="A35" s="162"/>
    </row>
    <row r="36" spans="1:1" x14ac:dyDescent="0.25">
      <c r="A36" s="162"/>
    </row>
    <row r="37" spans="1:1" x14ac:dyDescent="0.25">
      <c r="A37" s="162"/>
    </row>
    <row r="38" spans="1:1" x14ac:dyDescent="0.25">
      <c r="A38" s="162"/>
    </row>
    <row r="39" spans="1:1" x14ac:dyDescent="0.25">
      <c r="A39" s="162"/>
    </row>
    <row r="40" spans="1:1" x14ac:dyDescent="0.25">
      <c r="A40" s="162"/>
    </row>
    <row r="41" spans="1:1" x14ac:dyDescent="0.25">
      <c r="A41" s="162"/>
    </row>
    <row r="42" spans="1:1" x14ac:dyDescent="0.25">
      <c r="A42" s="162"/>
    </row>
    <row r="43" spans="1:1" x14ac:dyDescent="0.25">
      <c r="A43" s="162"/>
    </row>
    <row r="44" spans="1:1" x14ac:dyDescent="0.25">
      <c r="A44" s="162"/>
    </row>
    <row r="45" spans="1:1" x14ac:dyDescent="0.25">
      <c r="A45" s="162"/>
    </row>
    <row r="46" spans="1:1" x14ac:dyDescent="0.25">
      <c r="A46" s="162"/>
    </row>
    <row r="47" spans="1:1" x14ac:dyDescent="0.25">
      <c r="A47" s="162"/>
    </row>
    <row r="48" spans="1:1" x14ac:dyDescent="0.25">
      <c r="A48" s="162"/>
    </row>
    <row r="49" spans="1:1" x14ac:dyDescent="0.25">
      <c r="A49" s="162"/>
    </row>
    <row r="50" spans="1:1" x14ac:dyDescent="0.25">
      <c r="A50" s="162"/>
    </row>
    <row r="51" spans="1:1" x14ac:dyDescent="0.25">
      <c r="A51" s="162"/>
    </row>
    <row r="52" spans="1:1" x14ac:dyDescent="0.25">
      <c r="A52" s="162"/>
    </row>
    <row r="53" spans="1:1" x14ac:dyDescent="0.25">
      <c r="A53" s="162"/>
    </row>
    <row r="54" spans="1:1" x14ac:dyDescent="0.25">
      <c r="A54" s="162"/>
    </row>
    <row r="55" spans="1:1" x14ac:dyDescent="0.25">
      <c r="A55" s="162"/>
    </row>
    <row r="56" spans="1:1" x14ac:dyDescent="0.25">
      <c r="A56" s="162"/>
    </row>
    <row r="57" spans="1:1" x14ac:dyDescent="0.25">
      <c r="A57" s="162"/>
    </row>
    <row r="58" spans="1:1" x14ac:dyDescent="0.25">
      <c r="A58" s="162"/>
    </row>
    <row r="59" spans="1:1" x14ac:dyDescent="0.25">
      <c r="A59" s="162"/>
    </row>
    <row r="60" spans="1:1" x14ac:dyDescent="0.25">
      <c r="A60" s="162"/>
    </row>
    <row r="61" spans="1:1" x14ac:dyDescent="0.25">
      <c r="A61" s="162"/>
    </row>
    <row r="62" spans="1:1" x14ac:dyDescent="0.25">
      <c r="A62" s="162"/>
    </row>
    <row r="63" spans="1:1" x14ac:dyDescent="0.25">
      <c r="A63" s="162"/>
    </row>
    <row r="64" spans="1:1" x14ac:dyDescent="0.25">
      <c r="A64" s="162"/>
    </row>
    <row r="65" spans="1:1" x14ac:dyDescent="0.25">
      <c r="A65" s="162"/>
    </row>
    <row r="66" spans="1:1" x14ac:dyDescent="0.25">
      <c r="A66" s="162"/>
    </row>
    <row r="67" spans="1:1" x14ac:dyDescent="0.25">
      <c r="A67" s="162"/>
    </row>
    <row r="68" spans="1:1" x14ac:dyDescent="0.25">
      <c r="A68" s="162"/>
    </row>
    <row r="69" spans="1:1" x14ac:dyDescent="0.25">
      <c r="A69" s="162"/>
    </row>
    <row r="70" spans="1:1" x14ac:dyDescent="0.25">
      <c r="A70" s="162"/>
    </row>
    <row r="71" spans="1:1" x14ac:dyDescent="0.25">
      <c r="A71" s="162"/>
    </row>
    <row r="72" spans="1:1" x14ac:dyDescent="0.25">
      <c r="A72" s="162"/>
    </row>
    <row r="73" spans="1:1" x14ac:dyDescent="0.25">
      <c r="A73" s="162"/>
    </row>
    <row r="74" spans="1:1" x14ac:dyDescent="0.25">
      <c r="A74" s="162"/>
    </row>
    <row r="75" spans="1:1" x14ac:dyDescent="0.25">
      <c r="A75" s="162"/>
    </row>
    <row r="76" spans="1:1" x14ac:dyDescent="0.25">
      <c r="A76" s="162"/>
    </row>
    <row r="77" spans="1:1" x14ac:dyDescent="0.25">
      <c r="A77" s="162"/>
    </row>
    <row r="78" spans="1:1" x14ac:dyDescent="0.25">
      <c r="A78" s="162"/>
    </row>
    <row r="79" spans="1:1" x14ac:dyDescent="0.25">
      <c r="A79" s="162"/>
    </row>
    <row r="80" spans="1:1" x14ac:dyDescent="0.25">
      <c r="A80" s="162"/>
    </row>
    <row r="81" spans="1:1" x14ac:dyDescent="0.25">
      <c r="A81" s="162"/>
    </row>
    <row r="82" spans="1:1" x14ac:dyDescent="0.25">
      <c r="A82" s="162"/>
    </row>
    <row r="83" spans="1:1" x14ac:dyDescent="0.25">
      <c r="A83" s="162"/>
    </row>
    <row r="84" spans="1:1" x14ac:dyDescent="0.25">
      <c r="A84" s="162"/>
    </row>
    <row r="85" spans="1:1" x14ac:dyDescent="0.25">
      <c r="A85" s="162"/>
    </row>
    <row r="86" spans="1:1" x14ac:dyDescent="0.25">
      <c r="A86" s="162"/>
    </row>
    <row r="87" spans="1:1" x14ac:dyDescent="0.25">
      <c r="A87" s="162"/>
    </row>
    <row r="88" spans="1:1" x14ac:dyDescent="0.25">
      <c r="A88" s="162"/>
    </row>
    <row r="89" spans="1:1" x14ac:dyDescent="0.25">
      <c r="A89" s="162"/>
    </row>
    <row r="90" spans="1:1" x14ac:dyDescent="0.25">
      <c r="A90" s="162"/>
    </row>
    <row r="91" spans="1:1" x14ac:dyDescent="0.25">
      <c r="A91" s="162"/>
    </row>
    <row r="92" spans="1:1" x14ac:dyDescent="0.25">
      <c r="A92" s="162"/>
    </row>
    <row r="93" spans="1:1" x14ac:dyDescent="0.25">
      <c r="A93" s="162"/>
    </row>
    <row r="94" spans="1:1" x14ac:dyDescent="0.25">
      <c r="A94" s="162"/>
    </row>
    <row r="95" spans="1:1" x14ac:dyDescent="0.25">
      <c r="A95" s="162"/>
    </row>
    <row r="96" spans="1:1" x14ac:dyDescent="0.25">
      <c r="A96" s="162"/>
    </row>
    <row r="97" spans="1:1" x14ac:dyDescent="0.25">
      <c r="A97" s="162"/>
    </row>
    <row r="98" spans="1:1" x14ac:dyDescent="0.25">
      <c r="A98" s="162"/>
    </row>
    <row r="99" spans="1:1" x14ac:dyDescent="0.25">
      <c r="A99" s="162"/>
    </row>
    <row r="100" spans="1:1" x14ac:dyDescent="0.25">
      <c r="A100" s="162"/>
    </row>
    <row r="101" spans="1:1" x14ac:dyDescent="0.25">
      <c r="A101" s="162"/>
    </row>
    <row r="102" spans="1:1" x14ac:dyDescent="0.25">
      <c r="A102" s="162"/>
    </row>
    <row r="103" spans="1:1" x14ac:dyDescent="0.25">
      <c r="A103" s="162"/>
    </row>
    <row r="104" spans="1:1" x14ac:dyDescent="0.25">
      <c r="A104" s="162"/>
    </row>
    <row r="105" spans="1:1" x14ac:dyDescent="0.25">
      <c r="A105" s="162"/>
    </row>
    <row r="106" spans="1:1" x14ac:dyDescent="0.25">
      <c r="A106" s="162"/>
    </row>
    <row r="107" spans="1:1" x14ac:dyDescent="0.25">
      <c r="A107" s="162"/>
    </row>
    <row r="108" spans="1:1" x14ac:dyDescent="0.25">
      <c r="A108" s="162"/>
    </row>
    <row r="109" spans="1:1" x14ac:dyDescent="0.25">
      <c r="A109" s="162"/>
    </row>
    <row r="110" spans="1:1" x14ac:dyDescent="0.25">
      <c r="A110" s="162"/>
    </row>
    <row r="111" spans="1:1" x14ac:dyDescent="0.25">
      <c r="A111" s="162"/>
    </row>
    <row r="112" spans="1:1" x14ac:dyDescent="0.25">
      <c r="A112" s="162"/>
    </row>
    <row r="113" spans="1:1" x14ac:dyDescent="0.25">
      <c r="A113" s="162"/>
    </row>
    <row r="114" spans="1:1" x14ac:dyDescent="0.25">
      <c r="A114" s="156"/>
    </row>
    <row r="115" spans="1:1" x14ac:dyDescent="0.25">
      <c r="A115" s="156"/>
    </row>
    <row r="116" spans="1:1" x14ac:dyDescent="0.25">
      <c r="A116" s="156"/>
    </row>
    <row r="117" spans="1:1" x14ac:dyDescent="0.25">
      <c r="A117" s="156"/>
    </row>
    <row r="118" spans="1:1" x14ac:dyDescent="0.25">
      <c r="A118" s="156"/>
    </row>
    <row r="119" spans="1:1" x14ac:dyDescent="0.25">
      <c r="A119" s="156"/>
    </row>
    <row r="120" spans="1:1" x14ac:dyDescent="0.25">
      <c r="A120" s="156"/>
    </row>
    <row r="121" spans="1:1" x14ac:dyDescent="0.25">
      <c r="A121" s="156"/>
    </row>
    <row r="122" spans="1:1" x14ac:dyDescent="0.25">
      <c r="A122" s="156"/>
    </row>
    <row r="123" spans="1:1" x14ac:dyDescent="0.25">
      <c r="A123" s="156"/>
    </row>
    <row r="124" spans="1:1" x14ac:dyDescent="0.25">
      <c r="A124" s="156"/>
    </row>
    <row r="125" spans="1:1" x14ac:dyDescent="0.25">
      <c r="A125" s="156"/>
    </row>
    <row r="126" spans="1:1" x14ac:dyDescent="0.25">
      <c r="A126" s="156"/>
    </row>
    <row r="127" spans="1:1" x14ac:dyDescent="0.25">
      <c r="A127" s="156"/>
    </row>
    <row r="128" spans="1:1" x14ac:dyDescent="0.25">
      <c r="A128" s="156"/>
    </row>
    <row r="129" spans="1:1" x14ac:dyDescent="0.25">
      <c r="A129" s="156"/>
    </row>
    <row r="130" spans="1:1" x14ac:dyDescent="0.25">
      <c r="A130" s="156"/>
    </row>
    <row r="131" spans="1:1" x14ac:dyDescent="0.25">
      <c r="A131" s="156"/>
    </row>
    <row r="132" spans="1:1" x14ac:dyDescent="0.25">
      <c r="A132" s="156"/>
    </row>
    <row r="133" spans="1:1" x14ac:dyDescent="0.25">
      <c r="A133" s="156"/>
    </row>
    <row r="134" spans="1:1" x14ac:dyDescent="0.25">
      <c r="A134" s="156"/>
    </row>
    <row r="135" spans="1:1" x14ac:dyDescent="0.25">
      <c r="A135" s="156"/>
    </row>
    <row r="136" spans="1:1" x14ac:dyDescent="0.25">
      <c r="A136" s="156"/>
    </row>
    <row r="137" spans="1:1" x14ac:dyDescent="0.25">
      <c r="A137" s="156"/>
    </row>
    <row r="138" spans="1:1" x14ac:dyDescent="0.25">
      <c r="A138" s="156"/>
    </row>
    <row r="139" spans="1:1" x14ac:dyDescent="0.25">
      <c r="A139" s="156"/>
    </row>
    <row r="140" spans="1:1" x14ac:dyDescent="0.25">
      <c r="A140" s="156"/>
    </row>
    <row r="141" spans="1:1" x14ac:dyDescent="0.25">
      <c r="A141" s="156"/>
    </row>
    <row r="142" spans="1:1" x14ac:dyDescent="0.25">
      <c r="A142" s="156"/>
    </row>
    <row r="143" spans="1:1" x14ac:dyDescent="0.25">
      <c r="A143" s="156"/>
    </row>
    <row r="144" spans="1:1" x14ac:dyDescent="0.25">
      <c r="A144" s="156"/>
    </row>
    <row r="145" spans="1:1" x14ac:dyDescent="0.25">
      <c r="A145" s="156"/>
    </row>
    <row r="146" spans="1:1" x14ac:dyDescent="0.25">
      <c r="A146" s="156"/>
    </row>
    <row r="147" spans="1:1" x14ac:dyDescent="0.25">
      <c r="A147" s="156"/>
    </row>
    <row r="148" spans="1:1" x14ac:dyDescent="0.25">
      <c r="A148" s="156"/>
    </row>
    <row r="149" spans="1:1" x14ac:dyDescent="0.25">
      <c r="A149" s="156"/>
    </row>
    <row r="150" spans="1:1" x14ac:dyDescent="0.25">
      <c r="A150" s="156"/>
    </row>
    <row r="151" spans="1:1" x14ac:dyDescent="0.25">
      <c r="A151" s="156"/>
    </row>
    <row r="152" spans="1:1" x14ac:dyDescent="0.25">
      <c r="A152" s="156"/>
    </row>
    <row r="153" spans="1:1" x14ac:dyDescent="0.25">
      <c r="A153" s="156"/>
    </row>
    <row r="154" spans="1:1" x14ac:dyDescent="0.25">
      <c r="A154" s="156"/>
    </row>
    <row r="155" spans="1:1" x14ac:dyDescent="0.25">
      <c r="A155" s="156"/>
    </row>
    <row r="156" spans="1:1" x14ac:dyDescent="0.25">
      <c r="A156" s="156"/>
    </row>
    <row r="157" spans="1:1" x14ac:dyDescent="0.25">
      <c r="A157" s="156"/>
    </row>
    <row r="158" spans="1:1" x14ac:dyDescent="0.25">
      <c r="A158" s="156"/>
    </row>
    <row r="159" spans="1:1" x14ac:dyDescent="0.25">
      <c r="A159" s="156"/>
    </row>
    <row r="160" spans="1:1" x14ac:dyDescent="0.25">
      <c r="A160" s="156"/>
    </row>
    <row r="161" spans="1:1" x14ac:dyDescent="0.25">
      <c r="A161" s="156"/>
    </row>
    <row r="162" spans="1:1" x14ac:dyDescent="0.25">
      <c r="A162" s="156"/>
    </row>
    <row r="163" spans="1:1" x14ac:dyDescent="0.25">
      <c r="A163" s="156"/>
    </row>
    <row r="164" spans="1:1" x14ac:dyDescent="0.25">
      <c r="A164" s="156"/>
    </row>
    <row r="165" spans="1:1" x14ac:dyDescent="0.25">
      <c r="A165" s="156"/>
    </row>
    <row r="166" spans="1:1" x14ac:dyDescent="0.25">
      <c r="A166" s="156"/>
    </row>
    <row r="167" spans="1:1" x14ac:dyDescent="0.25">
      <c r="A167" s="156"/>
    </row>
    <row r="168" spans="1:1" x14ac:dyDescent="0.25">
      <c r="A168" s="156"/>
    </row>
    <row r="169" spans="1:1" x14ac:dyDescent="0.25">
      <c r="A169" s="156"/>
    </row>
    <row r="170" spans="1:1" x14ac:dyDescent="0.25">
      <c r="A170" s="156"/>
    </row>
    <row r="171" spans="1:1" x14ac:dyDescent="0.25">
      <c r="A171" s="156"/>
    </row>
    <row r="172" spans="1:1" x14ac:dyDescent="0.25">
      <c r="A172" s="156"/>
    </row>
    <row r="173" spans="1:1" x14ac:dyDescent="0.25">
      <c r="A173" s="156"/>
    </row>
    <row r="174" spans="1:1" x14ac:dyDescent="0.25">
      <c r="A174" s="156"/>
    </row>
    <row r="175" spans="1:1" x14ac:dyDescent="0.25">
      <c r="A175" s="156"/>
    </row>
    <row r="176" spans="1:1" x14ac:dyDescent="0.25">
      <c r="A176" s="156"/>
    </row>
    <row r="177" spans="1:1" x14ac:dyDescent="0.25">
      <c r="A177" s="156"/>
    </row>
    <row r="178" spans="1:1" x14ac:dyDescent="0.25">
      <c r="A178" s="156"/>
    </row>
    <row r="179" spans="1:1" x14ac:dyDescent="0.25">
      <c r="A179" s="156"/>
    </row>
    <row r="180" spans="1:1" x14ac:dyDescent="0.25">
      <c r="A180" s="156"/>
    </row>
    <row r="181" spans="1:1" x14ac:dyDescent="0.25">
      <c r="A181" s="156"/>
    </row>
    <row r="182" spans="1:1" x14ac:dyDescent="0.25">
      <c r="A182" s="156"/>
    </row>
    <row r="183" spans="1:1" x14ac:dyDescent="0.25">
      <c r="A183" s="156"/>
    </row>
    <row r="184" spans="1:1" x14ac:dyDescent="0.25">
      <c r="A184" s="156"/>
    </row>
    <row r="185" spans="1:1" x14ac:dyDescent="0.25">
      <c r="A185" s="156"/>
    </row>
    <row r="186" spans="1:1" x14ac:dyDescent="0.25">
      <c r="A186" s="156"/>
    </row>
    <row r="187" spans="1:1" x14ac:dyDescent="0.25">
      <c r="A187" s="156"/>
    </row>
    <row r="188" spans="1:1" x14ac:dyDescent="0.25">
      <c r="A188" s="156"/>
    </row>
    <row r="189" spans="1:1" x14ac:dyDescent="0.25">
      <c r="A189" s="156"/>
    </row>
    <row r="190" spans="1:1" x14ac:dyDescent="0.25">
      <c r="A190" s="156"/>
    </row>
    <row r="191" spans="1:1" x14ac:dyDescent="0.25">
      <c r="A191" s="156"/>
    </row>
    <row r="192" spans="1:1" x14ac:dyDescent="0.25">
      <c r="A192" s="156"/>
    </row>
    <row r="193" spans="1:1" x14ac:dyDescent="0.25">
      <c r="A193" s="156"/>
    </row>
    <row r="194" spans="1:1" x14ac:dyDescent="0.25">
      <c r="A194" s="156"/>
    </row>
    <row r="195" spans="1:1" x14ac:dyDescent="0.25">
      <c r="A195" s="156"/>
    </row>
    <row r="196" spans="1:1" x14ac:dyDescent="0.25">
      <c r="A196" s="156"/>
    </row>
    <row r="197" spans="1:1" x14ac:dyDescent="0.25">
      <c r="A197" s="156"/>
    </row>
    <row r="198" spans="1:1" x14ac:dyDescent="0.25">
      <c r="A198" s="156"/>
    </row>
    <row r="199" spans="1:1" x14ac:dyDescent="0.25">
      <c r="A199" s="156"/>
    </row>
    <row r="200" spans="1:1" x14ac:dyDescent="0.25">
      <c r="A200" s="156"/>
    </row>
    <row r="201" spans="1:1" x14ac:dyDescent="0.25">
      <c r="A201" s="156"/>
    </row>
    <row r="202" spans="1:1" x14ac:dyDescent="0.25">
      <c r="A202" s="156"/>
    </row>
    <row r="203" spans="1:1" x14ac:dyDescent="0.25">
      <c r="A203" s="156"/>
    </row>
    <row r="204" spans="1:1" x14ac:dyDescent="0.25">
      <c r="A204" s="156"/>
    </row>
    <row r="205" spans="1:1" x14ac:dyDescent="0.25">
      <c r="A205" s="156"/>
    </row>
    <row r="206" spans="1:1" x14ac:dyDescent="0.25">
      <c r="A206" s="156"/>
    </row>
    <row r="207" spans="1:1" x14ac:dyDescent="0.25">
      <c r="A207" s="156"/>
    </row>
    <row r="208" spans="1:1" x14ac:dyDescent="0.25">
      <c r="A208" s="156"/>
    </row>
    <row r="209" spans="1:1" x14ac:dyDescent="0.25">
      <c r="A209" s="156"/>
    </row>
    <row r="210" spans="1:1" x14ac:dyDescent="0.25">
      <c r="A210" s="156"/>
    </row>
    <row r="211" spans="1:1" x14ac:dyDescent="0.25">
      <c r="A211" s="156"/>
    </row>
    <row r="212" spans="1:1" x14ac:dyDescent="0.25">
      <c r="A212" s="156"/>
    </row>
    <row r="213" spans="1:1" x14ac:dyDescent="0.25">
      <c r="A213" s="156"/>
    </row>
    <row r="214" spans="1:1" x14ac:dyDescent="0.25">
      <c r="A214" s="156"/>
    </row>
    <row r="215" spans="1:1" x14ac:dyDescent="0.25">
      <c r="A215" s="156"/>
    </row>
    <row r="216" spans="1:1" x14ac:dyDescent="0.25">
      <c r="A216" s="156"/>
    </row>
    <row r="217" spans="1:1" x14ac:dyDescent="0.25">
      <c r="A217" s="156"/>
    </row>
    <row r="218" spans="1:1" x14ac:dyDescent="0.25">
      <c r="A218" s="156"/>
    </row>
    <row r="219" spans="1:1" x14ac:dyDescent="0.25">
      <c r="A219" s="156"/>
    </row>
    <row r="220" spans="1:1" x14ac:dyDescent="0.25">
      <c r="A220" s="156"/>
    </row>
    <row r="221" spans="1:1" x14ac:dyDescent="0.25">
      <c r="A221" s="156"/>
    </row>
    <row r="222" spans="1:1" x14ac:dyDescent="0.25">
      <c r="A222" s="156"/>
    </row>
    <row r="223" spans="1:1" x14ac:dyDescent="0.25">
      <c r="A223" s="156"/>
    </row>
    <row r="224" spans="1:1" x14ac:dyDescent="0.25">
      <c r="A224" s="156"/>
    </row>
    <row r="225" spans="1:1" x14ac:dyDescent="0.25">
      <c r="A225" s="156"/>
    </row>
    <row r="226" spans="1:1" x14ac:dyDescent="0.25">
      <c r="A226" s="156"/>
    </row>
    <row r="227" spans="1:1" x14ac:dyDescent="0.25">
      <c r="A227" s="156"/>
    </row>
    <row r="228" spans="1:1" x14ac:dyDescent="0.25">
      <c r="A228" s="156"/>
    </row>
    <row r="229" spans="1:1" x14ac:dyDescent="0.25">
      <c r="A229" s="156"/>
    </row>
    <row r="230" spans="1:1" x14ac:dyDescent="0.25">
      <c r="A230" s="156"/>
    </row>
    <row r="231" spans="1:1" x14ac:dyDescent="0.25">
      <c r="A231" s="156"/>
    </row>
    <row r="232" spans="1:1" x14ac:dyDescent="0.25">
      <c r="A232" s="156"/>
    </row>
    <row r="233" spans="1:1" x14ac:dyDescent="0.25">
      <c r="A233" s="156"/>
    </row>
    <row r="234" spans="1:1" x14ac:dyDescent="0.25">
      <c r="A234" s="156"/>
    </row>
    <row r="235" spans="1:1" x14ac:dyDescent="0.25">
      <c r="A235" s="156"/>
    </row>
    <row r="236" spans="1:1" x14ac:dyDescent="0.25">
      <c r="A236" s="156"/>
    </row>
    <row r="237" spans="1:1" x14ac:dyDescent="0.25">
      <c r="A237" s="156"/>
    </row>
    <row r="238" spans="1:1" x14ac:dyDescent="0.25">
      <c r="A238" s="156"/>
    </row>
    <row r="239" spans="1:1" x14ac:dyDescent="0.25">
      <c r="A239" s="156"/>
    </row>
    <row r="240" spans="1:1" x14ac:dyDescent="0.25">
      <c r="A240" s="156"/>
    </row>
    <row r="241" spans="1:1" x14ac:dyDescent="0.25">
      <c r="A241" s="156"/>
    </row>
    <row r="242" spans="1:1" x14ac:dyDescent="0.25">
      <c r="A242" s="156"/>
    </row>
    <row r="243" spans="1:1" x14ac:dyDescent="0.25">
      <c r="A243" s="156"/>
    </row>
  </sheetData>
  <phoneticPr fontId="18" type="noConversion"/>
  <pageMargins left="0.7" right="0.7" top="1" bottom="6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35"/>
  <sheetViews>
    <sheetView showGridLines="0" tabSelected="1" zoomScale="90" zoomScaleNormal="90" workbookViewId="0"/>
  </sheetViews>
  <sheetFormatPr defaultRowHeight="12.5" x14ac:dyDescent="0.25"/>
  <cols>
    <col min="1" max="1" width="21.7265625" customWidth="1"/>
    <col min="2" max="2" width="11.54296875" customWidth="1"/>
    <col min="3" max="3" width="9.54296875" customWidth="1"/>
    <col min="4" max="4" width="8.54296875" customWidth="1"/>
    <col min="5" max="5" width="9.7265625" customWidth="1"/>
    <col min="6" max="6" width="10.7265625" customWidth="1"/>
    <col min="7" max="7" width="7.7265625" customWidth="1"/>
    <col min="8" max="8" width="9.7265625" customWidth="1"/>
    <col min="9" max="9" width="1.7265625" customWidth="1"/>
    <col min="10" max="10" width="9.7265625" customWidth="1"/>
    <col min="11" max="12" width="10.7265625" customWidth="1"/>
    <col min="13" max="14" width="9.7265625" customWidth="1"/>
  </cols>
  <sheetData>
    <row r="1" spans="1:14" ht="14" x14ac:dyDescent="0.3">
      <c r="A1" s="34" t="s">
        <v>146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4" x14ac:dyDescent="0.3">
      <c r="A2" s="35"/>
      <c r="B2" s="135" t="s">
        <v>21</v>
      </c>
      <c r="C2" s="132"/>
      <c r="D2" s="37" t="s">
        <v>24</v>
      </c>
      <c r="E2" s="134"/>
      <c r="F2" s="132" t="s">
        <v>81</v>
      </c>
      <c r="G2" s="132"/>
      <c r="H2" s="132"/>
      <c r="I2" s="38"/>
      <c r="J2" s="134"/>
      <c r="K2" s="132"/>
      <c r="L2" s="136" t="s">
        <v>62</v>
      </c>
      <c r="M2" s="132"/>
      <c r="N2" s="35"/>
    </row>
    <row r="3" spans="1:14" ht="14" x14ac:dyDescent="0.3">
      <c r="A3" s="35" t="s">
        <v>74</v>
      </c>
      <c r="B3" s="37" t="s">
        <v>22</v>
      </c>
      <c r="C3" s="35" t="s">
        <v>23</v>
      </c>
      <c r="D3" s="37"/>
      <c r="E3" s="39" t="s">
        <v>8</v>
      </c>
      <c r="F3" s="39"/>
      <c r="G3" s="39"/>
      <c r="H3" s="39"/>
      <c r="I3" s="39"/>
      <c r="J3" s="37" t="s">
        <v>64</v>
      </c>
      <c r="K3" s="39" t="s">
        <v>89</v>
      </c>
      <c r="L3" s="39"/>
      <c r="M3" s="39"/>
      <c r="N3" s="39" t="s">
        <v>6</v>
      </c>
    </row>
    <row r="4" spans="1:14" ht="14" x14ac:dyDescent="0.3">
      <c r="A4" s="40" t="s">
        <v>78</v>
      </c>
      <c r="B4" s="41"/>
      <c r="C4" s="41"/>
      <c r="D4" s="41"/>
      <c r="E4" s="42" t="s">
        <v>7</v>
      </c>
      <c r="F4" s="42" t="s">
        <v>1</v>
      </c>
      <c r="G4" s="43" t="s">
        <v>2</v>
      </c>
      <c r="H4" s="44" t="s">
        <v>3</v>
      </c>
      <c r="I4" s="43"/>
      <c r="J4" s="43"/>
      <c r="K4" s="43" t="s">
        <v>5</v>
      </c>
      <c r="L4" s="44" t="s">
        <v>4</v>
      </c>
      <c r="M4" s="42" t="s">
        <v>3</v>
      </c>
      <c r="N4" s="43" t="s">
        <v>7</v>
      </c>
    </row>
    <row r="5" spans="1:14" ht="14.5" x14ac:dyDescent="0.35">
      <c r="A5" s="35"/>
      <c r="B5" s="130" t="s">
        <v>82</v>
      </c>
      <c r="C5" s="131"/>
      <c r="D5" s="45" t="s">
        <v>66</v>
      </c>
      <c r="G5" s="130"/>
      <c r="I5" s="130"/>
      <c r="J5" s="133" t="s">
        <v>142</v>
      </c>
      <c r="K5" s="130"/>
      <c r="L5" s="130"/>
      <c r="M5" s="130"/>
      <c r="N5" s="130"/>
    </row>
    <row r="6" spans="1:14" ht="16.5" customHeight="1" x14ac:dyDescent="0.3">
      <c r="A6" s="35" t="s">
        <v>140</v>
      </c>
      <c r="B6" s="46">
        <v>89.167000000000002</v>
      </c>
      <c r="C6" s="46">
        <v>87.593999999999994</v>
      </c>
      <c r="D6" s="46">
        <f t="shared" ref="D6" si="0">F6/C6</f>
        <v>50.553120076717583</v>
      </c>
      <c r="E6" s="47">
        <v>438.10500000000002</v>
      </c>
      <c r="F6" s="48">
        <v>4428.1499999999996</v>
      </c>
      <c r="G6" s="49">
        <v>14.0573</v>
      </c>
      <c r="H6" s="49">
        <f t="shared" ref="H6" si="1">SUM(E6:G6)</f>
        <v>4880.3122999999996</v>
      </c>
      <c r="I6" s="35"/>
      <c r="J6" s="48">
        <v>2091.9902666666667</v>
      </c>
      <c r="K6" s="48">
        <f t="shared" ref="K6:K7" si="2">M6-L6-J6</f>
        <v>203.01353333333282</v>
      </c>
      <c r="L6" s="49">
        <v>1676.2565</v>
      </c>
      <c r="M6" s="49">
        <f t="shared" ref="M6:M7" si="3">H6-N6</f>
        <v>3971.2602999999995</v>
      </c>
      <c r="N6" s="49">
        <v>909.05200000000002</v>
      </c>
    </row>
    <row r="7" spans="1:14" ht="16.5" customHeight="1" x14ac:dyDescent="0.3">
      <c r="A7" s="35" t="s">
        <v>144</v>
      </c>
      <c r="B7" s="46">
        <v>76.099999999999994</v>
      </c>
      <c r="C7" s="46">
        <v>74.938999999999993</v>
      </c>
      <c r="D7" s="46">
        <f>F7/C7</f>
        <v>47.397323156167019</v>
      </c>
      <c r="E7" s="47">
        <f>N6</f>
        <v>909.05200000000002</v>
      </c>
      <c r="F7" s="48">
        <f>F15</f>
        <v>3551.9079999999999</v>
      </c>
      <c r="G7" s="49">
        <f>G28</f>
        <v>15.399722739414511</v>
      </c>
      <c r="H7" s="49">
        <f>SUM(E7:G7)</f>
        <v>4476.3597227394148</v>
      </c>
      <c r="I7" s="35"/>
      <c r="J7" s="48">
        <f>J28</f>
        <v>2164.5542333333333</v>
      </c>
      <c r="K7" s="48">
        <f t="shared" si="2"/>
        <v>105.241716924927</v>
      </c>
      <c r="L7" s="49">
        <f>L28</f>
        <v>1682.0227724811543</v>
      </c>
      <c r="M7" s="49">
        <f t="shared" si="3"/>
        <v>3951.8187227394146</v>
      </c>
      <c r="N7" s="49">
        <f>N27</f>
        <v>524.54100000000005</v>
      </c>
    </row>
    <row r="8" spans="1:14" ht="16.5" customHeight="1" x14ac:dyDescent="0.3">
      <c r="A8" s="35" t="s">
        <v>156</v>
      </c>
      <c r="B8" s="46">
        <v>83.084000000000003</v>
      </c>
      <c r="C8" s="46">
        <v>82.317999999999998</v>
      </c>
      <c r="D8" s="46">
        <f>F8/C8</f>
        <v>50.237821618601032</v>
      </c>
      <c r="E8" s="47">
        <f>N7</f>
        <v>524.54100000000005</v>
      </c>
      <c r="F8" s="48">
        <f>F34</f>
        <v>4135.4769999999999</v>
      </c>
      <c r="G8" s="49">
        <v>35</v>
      </c>
      <c r="H8" s="49">
        <f>SUM(E8:G8)</f>
        <v>4695.018</v>
      </c>
      <c r="I8" s="35"/>
      <c r="J8" s="48">
        <v>2200</v>
      </c>
      <c r="K8" s="48">
        <f t="shared" ref="K8" si="4">M8-L8-J8</f>
        <v>125.01800000000003</v>
      </c>
      <c r="L8" s="49">
        <v>2230</v>
      </c>
      <c r="M8" s="49">
        <f t="shared" ref="M8" si="5">H8-N8</f>
        <v>4555.018</v>
      </c>
      <c r="N8" s="49">
        <v>140</v>
      </c>
    </row>
    <row r="9" spans="1:14" ht="16.5" customHeight="1" x14ac:dyDescent="0.3">
      <c r="A9" s="38"/>
      <c r="B9" s="38"/>
      <c r="C9" s="38"/>
      <c r="D9" s="38"/>
      <c r="E9" s="51"/>
      <c r="F9" s="51"/>
      <c r="G9" s="52"/>
      <c r="H9" s="51"/>
      <c r="I9" s="51"/>
      <c r="J9" s="52"/>
      <c r="K9" s="52"/>
      <c r="L9" s="52"/>
      <c r="M9" s="52"/>
      <c r="N9" s="52"/>
    </row>
    <row r="10" spans="1:14" ht="16.5" customHeight="1" x14ac:dyDescent="0.3">
      <c r="A10" s="38" t="s">
        <v>65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76"/>
    </row>
    <row r="11" spans="1:14" ht="16.5" customHeight="1" x14ac:dyDescent="0.3">
      <c r="A11" s="35" t="s">
        <v>145</v>
      </c>
      <c r="B11" s="128"/>
      <c r="C11" s="128"/>
      <c r="D11" s="128"/>
      <c r="E11" s="128"/>
      <c r="F11" s="128"/>
      <c r="G11" s="56"/>
      <c r="H11" s="57"/>
      <c r="I11" s="138"/>
      <c r="J11" s="57"/>
      <c r="K11" s="57"/>
      <c r="L11" s="56"/>
      <c r="M11" s="56"/>
      <c r="N11" s="128"/>
    </row>
    <row r="12" spans="1:14" ht="16.5" customHeight="1" x14ac:dyDescent="0.3">
      <c r="A12" s="38" t="s">
        <v>92</v>
      </c>
      <c r="B12" s="128"/>
      <c r="C12" s="128"/>
      <c r="D12" s="128"/>
      <c r="G12" s="56">
        <f>(0.61606+25.572761+5.722113)*2.204622/60</f>
        <v>1.1725257856158</v>
      </c>
      <c r="I12" s="128"/>
      <c r="J12" s="57">
        <f>4.870034*2000/60</f>
        <v>162.33446666666669</v>
      </c>
      <c r="K12" s="58"/>
      <c r="L12" s="56">
        <f>(34.198907+3866.166)*2.204622/60</f>
        <v>143.31383803333591</v>
      </c>
      <c r="M12" s="56"/>
      <c r="N12" s="57"/>
    </row>
    <row r="13" spans="1:14" ht="16.5" customHeight="1" x14ac:dyDescent="0.3">
      <c r="A13" s="38" t="s">
        <v>97</v>
      </c>
      <c r="B13" s="128"/>
      <c r="C13" s="128"/>
      <c r="D13" s="128"/>
      <c r="E13" s="53"/>
      <c r="F13" s="55"/>
      <c r="G13" s="56">
        <f>(1.045181+37.412542+15.259817)*2.204622/60</f>
        <v>1.9737811744980001</v>
      </c>
      <c r="H13" s="57"/>
      <c r="I13" s="128"/>
      <c r="J13" s="57">
        <f>5.615616*2000/60</f>
        <v>187.18719999999999</v>
      </c>
      <c r="K13" s="58"/>
      <c r="L13" s="56">
        <f>(31.439182+5862.128)*2.204622/60</f>
        <v>216.55146446525342</v>
      </c>
      <c r="M13" s="56"/>
      <c r="N13" s="57"/>
    </row>
    <row r="14" spans="1:14" ht="16.5" customHeight="1" x14ac:dyDescent="0.3">
      <c r="A14" s="38" t="s">
        <v>99</v>
      </c>
      <c r="B14" s="128"/>
      <c r="C14" s="128"/>
      <c r="D14" s="128"/>
      <c r="E14" s="53"/>
      <c r="F14" s="55"/>
      <c r="G14" s="56">
        <f>(0.996565+5.711141+5.30294)*2.204622/60</f>
        <v>0.44131557343020006</v>
      </c>
      <c r="H14" s="57"/>
      <c r="I14" s="128"/>
      <c r="J14" s="57">
        <f>5.239452*2000/60</f>
        <v>174.64840000000001</v>
      </c>
      <c r="K14" s="58"/>
      <c r="L14" s="56">
        <f>(18.866325+6806.837)*2.204622/60</f>
        <v>250.80159526280252</v>
      </c>
      <c r="M14" s="56"/>
      <c r="N14" s="57"/>
    </row>
    <row r="15" spans="1:14" ht="16.5" customHeight="1" x14ac:dyDescent="0.3">
      <c r="A15" s="38" t="s">
        <v>71</v>
      </c>
      <c r="B15" s="128"/>
      <c r="C15" s="128"/>
      <c r="D15" s="128"/>
      <c r="E15" s="53">
        <v>909.05200000000002</v>
      </c>
      <c r="F15" s="55">
        <f>3551.908</f>
        <v>3551.9079999999999</v>
      </c>
      <c r="G15" s="56">
        <f>SUM(G12:G14)</f>
        <v>3.5876225335440002</v>
      </c>
      <c r="H15" s="57">
        <f>E15+F15+G15</f>
        <v>4464.5476225335442</v>
      </c>
      <c r="I15" s="128"/>
      <c r="J15" s="57">
        <f>SUM(J12:J14)</f>
        <v>524.17006666666668</v>
      </c>
      <c r="K15" s="58">
        <f>M15-L15-J15</f>
        <v>77.222658105485834</v>
      </c>
      <c r="L15" s="56">
        <f>SUM(L12:L14)</f>
        <v>610.66689776139185</v>
      </c>
      <c r="M15" s="56">
        <f>H15-N15</f>
        <v>1212.0596225335444</v>
      </c>
      <c r="N15" s="57">
        <v>3252.4879999999998</v>
      </c>
    </row>
    <row r="16" spans="1:14" ht="16.5" customHeight="1" x14ac:dyDescent="0.3">
      <c r="A16" s="35" t="s">
        <v>100</v>
      </c>
      <c r="B16" s="128"/>
      <c r="C16" s="128"/>
      <c r="D16" s="128"/>
      <c r="E16" s="53"/>
      <c r="F16" s="56"/>
      <c r="G16" s="56">
        <f>(2.394047+31.047659+4.372992)*2.204622/60</f>
        <v>1.3894519189025998</v>
      </c>
      <c r="H16" s="57"/>
      <c r="I16" s="128"/>
      <c r="J16" s="57">
        <f>5.542274*2000/60</f>
        <v>184.74246666666667</v>
      </c>
      <c r="K16" s="58"/>
      <c r="L16" s="56">
        <f>(18.302084+5638.722)*2.204622/60</f>
        <v>207.85999583527078</v>
      </c>
      <c r="M16" s="56"/>
      <c r="N16" s="57"/>
    </row>
    <row r="17" spans="1:14" ht="16.5" customHeight="1" x14ac:dyDescent="0.3">
      <c r="A17" s="35" t="s">
        <v>101</v>
      </c>
      <c r="B17" s="128"/>
      <c r="C17" s="128"/>
      <c r="D17" s="128"/>
      <c r="E17" s="53"/>
      <c r="F17" s="55"/>
      <c r="G17" s="56">
        <f>(8.096021+19.453759+3.525378)*2.204622/60</f>
        <v>1.1418162830046001</v>
      </c>
      <c r="H17" s="57"/>
      <c r="I17" s="128"/>
      <c r="J17" s="57">
        <f>5.663403*2000/60</f>
        <v>188.78009999999998</v>
      </c>
      <c r="K17" s="58"/>
      <c r="L17" s="56">
        <f>(22.638687+5296.569)*2.204622/60</f>
        <v>195.44737148882191</v>
      </c>
      <c r="M17" s="56"/>
      <c r="N17" s="57"/>
    </row>
    <row r="18" spans="1:14" ht="16.5" customHeight="1" x14ac:dyDescent="0.3">
      <c r="A18" s="35" t="s">
        <v>102</v>
      </c>
      <c r="B18" s="128"/>
      <c r="C18" s="128"/>
      <c r="D18" s="128"/>
      <c r="E18" s="53"/>
      <c r="F18" s="55"/>
      <c r="G18" s="56">
        <f>(1.166549+36.489844+3.682102)*2.204622/60</f>
        <v>1.5189292587315002</v>
      </c>
      <c r="H18" s="57"/>
      <c r="I18" s="128"/>
      <c r="J18" s="57">
        <f>5.258777*2000/60</f>
        <v>175.29256666666666</v>
      </c>
      <c r="K18" s="58"/>
      <c r="L18" s="56">
        <f>(14.336042+2744.522)*2.204622/60</f>
        <v>101.3706522378354</v>
      </c>
      <c r="M18" s="128"/>
      <c r="N18" s="128"/>
    </row>
    <row r="19" spans="1:14" ht="16.5" customHeight="1" x14ac:dyDescent="0.3">
      <c r="A19" s="35" t="s">
        <v>72</v>
      </c>
      <c r="B19" s="128"/>
      <c r="C19" s="128"/>
      <c r="D19" s="128"/>
      <c r="E19" s="53">
        <f>N15</f>
        <v>3252.4879999999998</v>
      </c>
      <c r="F19" s="55"/>
      <c r="G19" s="56">
        <f>SUM(G16:G18)</f>
        <v>4.0501974606387003</v>
      </c>
      <c r="H19" s="57">
        <f>E19+F19+G19</f>
        <v>3256.5381974606385</v>
      </c>
      <c r="I19" s="128"/>
      <c r="J19" s="57">
        <f>SUM(J16:J18)</f>
        <v>548.81513333333328</v>
      </c>
      <c r="K19" s="58">
        <f>M19-L19-J19</f>
        <v>-51.836955434622951</v>
      </c>
      <c r="L19" s="56">
        <f>SUM(L16:L18)</f>
        <v>504.67801956192807</v>
      </c>
      <c r="M19" s="56">
        <f>H19-N19</f>
        <v>1001.6561974606384</v>
      </c>
      <c r="N19" s="57">
        <v>2254.8820000000001</v>
      </c>
    </row>
    <row r="20" spans="1:14" ht="16.5" customHeight="1" x14ac:dyDescent="0.3">
      <c r="A20" s="35" t="s">
        <v>103</v>
      </c>
      <c r="B20" s="128"/>
      <c r="C20" s="128"/>
      <c r="D20" s="128"/>
      <c r="E20" s="53"/>
      <c r="F20" s="55"/>
      <c r="G20" s="56">
        <f>(13.511735+22.972721+5.958844)*2.204622/60</f>
        <v>1.5595238822100002</v>
      </c>
      <c r="H20" s="57"/>
      <c r="I20" s="128"/>
      <c r="J20" s="57">
        <f>5.764867*2000/60</f>
        <v>192.16223333333335</v>
      </c>
      <c r="K20" s="58"/>
      <c r="L20" s="56">
        <f>(18.610925+2552.241)*2.204622/60</f>
        <v>94.462611876622503</v>
      </c>
      <c r="M20" s="56"/>
      <c r="N20" s="57"/>
    </row>
    <row r="21" spans="1:14" ht="16.5" customHeight="1" x14ac:dyDescent="0.3">
      <c r="A21" s="35" t="s">
        <v>104</v>
      </c>
      <c r="B21" s="128"/>
      <c r="C21" s="128"/>
      <c r="D21" s="128"/>
      <c r="E21" s="53"/>
      <c r="F21" s="55"/>
      <c r="G21" s="56">
        <f>(5.570598+10.245373+9.643559)*2.204622/60</f>
        <v>0.93547733246100007</v>
      </c>
      <c r="H21" s="57"/>
      <c r="I21" s="128"/>
      <c r="J21" s="57">
        <f>5.501825*2000/60</f>
        <v>183.39416666666665</v>
      </c>
      <c r="K21" s="58"/>
      <c r="L21" s="56">
        <f>(20.838345+2142.276)*2.204622/60</f>
        <v>79.480824558376497</v>
      </c>
      <c r="M21" s="56"/>
      <c r="N21" s="57"/>
    </row>
    <row r="22" spans="1:14" ht="16.5" customHeight="1" x14ac:dyDescent="0.3">
      <c r="A22" s="35" t="s">
        <v>105</v>
      </c>
      <c r="B22" s="128"/>
      <c r="C22" s="128"/>
      <c r="D22" s="128"/>
      <c r="E22" s="53"/>
      <c r="F22" s="55"/>
      <c r="G22" s="56">
        <f>(2.133054+19.16263+9.57398)*2.204622/60</f>
        <v>1.1342656731168002</v>
      </c>
      <c r="H22" s="57"/>
      <c r="I22" s="128"/>
      <c r="J22" s="57">
        <f>5.386534*2000/60</f>
        <v>179.55113333333335</v>
      </c>
      <c r="K22" s="58"/>
      <c r="L22" s="56">
        <f>(21.557089+1943.847)*2.204622/60</f>
        <v>72.216218224989291</v>
      </c>
      <c r="M22" s="56"/>
      <c r="N22" s="57"/>
    </row>
    <row r="23" spans="1:14" ht="16.5" customHeight="1" x14ac:dyDescent="0.3">
      <c r="A23" s="35" t="s">
        <v>73</v>
      </c>
      <c r="B23" s="38"/>
      <c r="C23" s="38"/>
      <c r="D23" s="38"/>
      <c r="E23" s="53">
        <f>N19</f>
        <v>2254.8820000000001</v>
      </c>
      <c r="F23" s="59"/>
      <c r="G23" s="56">
        <f>SUM(G20:G22)</f>
        <v>3.6292668877878005</v>
      </c>
      <c r="H23" s="57">
        <f>E23+F23+G23</f>
        <v>2258.5112668877878</v>
      </c>
      <c r="I23" s="57"/>
      <c r="J23" s="57">
        <f>SUM(J20:J22)</f>
        <v>555.10753333333332</v>
      </c>
      <c r="K23" s="60">
        <f>M23-L23-J23</f>
        <v>75.850078894466151</v>
      </c>
      <c r="L23" s="56">
        <f>SUM(L20:L22)</f>
        <v>246.15965465998829</v>
      </c>
      <c r="M23" s="56">
        <f>H23-N23</f>
        <v>877.11726688778776</v>
      </c>
      <c r="N23" s="57">
        <v>1381.394</v>
      </c>
    </row>
    <row r="24" spans="1:14" ht="16.5" customHeight="1" x14ac:dyDescent="0.3">
      <c r="A24" s="35" t="s">
        <v>165</v>
      </c>
      <c r="B24" s="38"/>
      <c r="C24" s="38"/>
      <c r="D24" s="38"/>
      <c r="E24" s="53"/>
      <c r="F24" s="59"/>
      <c r="G24" s="56">
        <f>(2.390293+33.764567+8.787479)*2.204622/60</f>
        <v>1.6513478215142998</v>
      </c>
      <c r="H24" s="57"/>
      <c r="I24" s="57"/>
      <c r="J24" s="57">
        <f>5.318419*2000/60</f>
        <v>177.28063333333333</v>
      </c>
      <c r="K24" s="60"/>
      <c r="L24" s="56">
        <f>(21.146851+1778.049)*2.204622/60</f>
        <v>66.109112590388705</v>
      </c>
      <c r="M24" s="56"/>
      <c r="N24" s="57"/>
    </row>
    <row r="25" spans="1:14" ht="16.5" customHeight="1" x14ac:dyDescent="0.3">
      <c r="A25" s="35" t="s">
        <v>166</v>
      </c>
      <c r="B25" s="38"/>
      <c r="C25" s="38"/>
      <c r="D25" s="38"/>
      <c r="E25" s="53"/>
      <c r="F25" s="59"/>
      <c r="G25" s="56">
        <f>(2.3824143+38.020274+7.574612)*2.204622/60</f>
        <v>1.7628635290331103</v>
      </c>
      <c r="H25" s="57"/>
      <c r="I25" s="57"/>
      <c r="J25" s="57">
        <f>5.535196*2000/60</f>
        <v>184.50653333333332</v>
      </c>
      <c r="K25" s="60"/>
      <c r="L25" s="56">
        <f>(24.132099+2192.059)*2.204622/60</f>
        <v>81.431060884326314</v>
      </c>
      <c r="M25" s="56"/>
      <c r="N25" s="57"/>
    </row>
    <row r="26" spans="1:14" ht="16.5" customHeight="1" x14ac:dyDescent="0.3">
      <c r="A26" s="35" t="s">
        <v>167</v>
      </c>
      <c r="B26" s="38"/>
      <c r="C26" s="38"/>
      <c r="D26" s="38"/>
      <c r="E26" s="53"/>
      <c r="F26" s="59"/>
      <c r="G26" s="56">
        <f>(0.701049+12.986497+5.864772)*2.204622/60</f>
        <v>0.71842450689659998</v>
      </c>
      <c r="H26" s="57"/>
      <c r="I26" s="57"/>
      <c r="J26" s="57">
        <f>5.24023*2000/60</f>
        <v>174.67433333333335</v>
      </c>
      <c r="K26" s="60"/>
      <c r="L26" s="56">
        <f>(30.796122+4676.896)*2.204622/60</f>
        <v>172.97802702313138</v>
      </c>
      <c r="M26" s="56"/>
      <c r="N26" s="57"/>
    </row>
    <row r="27" spans="1:14" ht="16.5" customHeight="1" x14ac:dyDescent="0.3">
      <c r="A27" s="35" t="s">
        <v>179</v>
      </c>
      <c r="B27" s="38"/>
      <c r="C27" s="38"/>
      <c r="D27" s="38"/>
      <c r="E27" s="53">
        <f>N23</f>
        <v>1381.394</v>
      </c>
      <c r="F27" s="59"/>
      <c r="G27" s="56">
        <f>SUM(G24:G26)</f>
        <v>4.1326358574440096</v>
      </c>
      <c r="H27" s="57">
        <f>E27+F27+G27</f>
        <v>1385.526635857444</v>
      </c>
      <c r="I27" s="57"/>
      <c r="J27" s="57">
        <f>SUM(J24:J26)</f>
        <v>536.4615</v>
      </c>
      <c r="K27" s="60">
        <f>M27-L27-J27</f>
        <v>4.005935359597629</v>
      </c>
      <c r="L27" s="56">
        <f>SUM(L24:L26)</f>
        <v>320.51820049784635</v>
      </c>
      <c r="M27" s="56">
        <f>H27-N27</f>
        <v>860.98563585744398</v>
      </c>
      <c r="N27" s="57">
        <v>524.54100000000005</v>
      </c>
    </row>
    <row r="28" spans="1:14" ht="16.5" customHeight="1" x14ac:dyDescent="0.3">
      <c r="A28" s="35" t="s">
        <v>3</v>
      </c>
      <c r="B28" s="128"/>
      <c r="C28" s="128"/>
      <c r="D28" s="128"/>
      <c r="E28" s="53"/>
      <c r="F28" s="55">
        <f>F15</f>
        <v>3551.9079999999999</v>
      </c>
      <c r="G28" s="56">
        <f>G15+G19+G23+G27</f>
        <v>15.399722739414511</v>
      </c>
      <c r="H28" s="57">
        <f>E15+F28+G28</f>
        <v>4476.3597227394148</v>
      </c>
      <c r="I28" s="128"/>
      <c r="J28" s="57">
        <f>J15+J19+J23+J27</f>
        <v>2164.5542333333333</v>
      </c>
      <c r="K28" s="60">
        <f>K15+K19+K23+K27</f>
        <v>105.24171692492666</v>
      </c>
      <c r="L28" s="56">
        <f>L15+L19+L23+L27</f>
        <v>1682.0227724811543</v>
      </c>
      <c r="M28" s="56">
        <f>M15+M19+M23+M27</f>
        <v>3951.8187227394142</v>
      </c>
      <c r="N28" s="57"/>
    </row>
    <row r="29" spans="1:14" ht="16.5" customHeight="1" x14ac:dyDescent="0.3">
      <c r="A29" s="35"/>
      <c r="B29" s="128"/>
      <c r="C29" s="128"/>
      <c r="D29" s="128"/>
      <c r="E29" s="53"/>
      <c r="F29" s="55"/>
      <c r="G29" s="56"/>
      <c r="H29" s="57"/>
      <c r="I29" s="128"/>
      <c r="J29" s="57"/>
      <c r="K29" s="60"/>
      <c r="L29" s="56"/>
      <c r="M29" s="56"/>
      <c r="N29" s="57"/>
    </row>
    <row r="30" spans="1:14" ht="16.5" customHeight="1" x14ac:dyDescent="0.3">
      <c r="A30" s="35" t="s">
        <v>168</v>
      </c>
      <c r="B30" s="128"/>
      <c r="C30" s="128"/>
      <c r="D30" s="128"/>
      <c r="E30" s="53"/>
      <c r="F30" s="55"/>
      <c r="G30" s="56"/>
      <c r="H30" s="57"/>
      <c r="I30" s="128"/>
      <c r="J30" s="57"/>
      <c r="K30" s="60"/>
      <c r="L30" s="56"/>
      <c r="M30" s="56"/>
      <c r="N30" s="57"/>
    </row>
    <row r="31" spans="1:14" ht="16.5" customHeight="1" x14ac:dyDescent="0.3">
      <c r="A31" s="38" t="s">
        <v>92</v>
      </c>
      <c r="B31" s="128"/>
      <c r="C31" s="128"/>
      <c r="D31" s="128"/>
      <c r="E31" s="53"/>
      <c r="F31" s="55"/>
      <c r="G31" s="56">
        <f>(0.991907+40.308831+3.223895)*2.204622/60</f>
        <v>1.6359997575620999</v>
      </c>
      <c r="I31" s="128"/>
      <c r="J31" s="57">
        <f>5.131665*2000/60</f>
        <v>171.05549999999999</v>
      </c>
      <c r="K31" s="58"/>
      <c r="L31" s="56">
        <f>(34.30443+7142.853)*2.204622/60</f>
        <v>263.71531946069103</v>
      </c>
      <c r="M31" s="56"/>
      <c r="N31" s="57"/>
    </row>
    <row r="32" spans="1:14" ht="16.5" customHeight="1" x14ac:dyDescent="0.3">
      <c r="A32" s="38" t="s">
        <v>97</v>
      </c>
      <c r="B32" s="128"/>
      <c r="C32" s="128"/>
      <c r="D32" s="128"/>
      <c r="E32" s="147"/>
      <c r="F32" s="55"/>
      <c r="G32" s="56">
        <f>(2.771319+17.330953+4.808326)*2.204622/60</f>
        <v>0.91530753973260004</v>
      </c>
      <c r="I32" s="128"/>
      <c r="J32" s="57">
        <f>5.897079*2000/60</f>
        <v>196.5693</v>
      </c>
      <c r="K32" s="58"/>
      <c r="L32" s="56">
        <f>(44.27145+11528.604)*2.204622/60</f>
        <v>425.23026367216499</v>
      </c>
      <c r="M32" s="56"/>
      <c r="N32" s="57"/>
    </row>
    <row r="33" spans="1:73" ht="16.5" customHeight="1" x14ac:dyDescent="0.3">
      <c r="A33" s="38" t="s">
        <v>99</v>
      </c>
      <c r="B33" s="128"/>
      <c r="C33" s="128"/>
      <c r="D33" s="128"/>
      <c r="E33" s="147"/>
      <c r="F33" s="55"/>
      <c r="G33" s="56">
        <f>(3.096115+4.442072+4.893559)*2.204622/60</f>
        <v>0.45678834550020003</v>
      </c>
      <c r="I33" s="128"/>
      <c r="J33" s="57">
        <f>5.731207*2000/60</f>
        <v>191.04023333333333</v>
      </c>
      <c r="K33" s="58"/>
      <c r="L33" s="56">
        <f>(47.735577+11048.716)*2.204622/60</f>
        <v>407.7246878098149</v>
      </c>
      <c r="M33" s="56"/>
      <c r="N33" s="57"/>
    </row>
    <row r="34" spans="1:73" ht="16.5" customHeight="1" x14ac:dyDescent="0.3">
      <c r="A34" s="34" t="s">
        <v>71</v>
      </c>
      <c r="B34" s="122"/>
      <c r="C34" s="122"/>
      <c r="D34" s="122"/>
      <c r="E34" s="159">
        <f>N27</f>
        <v>524.54100000000005</v>
      </c>
      <c r="F34" s="160">
        <v>4135.4769999999999</v>
      </c>
      <c r="G34" s="62">
        <f>G31+G32+G33</f>
        <v>3.0080956427948999</v>
      </c>
      <c r="H34" s="123">
        <f>E34+F34+G34</f>
        <v>4663.0260956427946</v>
      </c>
      <c r="I34" s="122"/>
      <c r="J34" s="123">
        <f>J31+J32+J33</f>
        <v>558.66503333333333</v>
      </c>
      <c r="K34" s="163">
        <f>M34-L34-J34</f>
        <v>74.368791366790333</v>
      </c>
      <c r="L34" s="62">
        <f>L31+L32+L33</f>
        <v>1096.6702709426709</v>
      </c>
      <c r="M34" s="62">
        <f>H34-N34</f>
        <v>1729.7040956427945</v>
      </c>
      <c r="N34" s="165">
        <v>2933.3220000000001</v>
      </c>
    </row>
    <row r="35" spans="1:73" ht="16.5" customHeight="1" x14ac:dyDescent="0.3">
      <c r="A35" s="63" t="s">
        <v>153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64"/>
      <c r="M35" s="38"/>
      <c r="N35" s="38"/>
    </row>
    <row r="36" spans="1:73" ht="16.5" customHeight="1" x14ac:dyDescent="0.35">
      <c r="A36" s="35" t="s">
        <v>163</v>
      </c>
      <c r="B36" s="35"/>
      <c r="C36" s="35"/>
      <c r="D36" s="35"/>
      <c r="E36" s="65"/>
      <c r="F36" s="65"/>
      <c r="G36" s="65"/>
      <c r="H36" s="65"/>
      <c r="I36" s="65"/>
      <c r="J36" s="65"/>
      <c r="K36" s="65"/>
      <c r="L36" s="65"/>
      <c r="M36" s="65"/>
      <c r="N36" s="65"/>
    </row>
    <row r="37" spans="1:73" ht="16.5" customHeight="1" x14ac:dyDescent="0.35">
      <c r="A37" s="66" t="s">
        <v>69</v>
      </c>
      <c r="B37" s="35"/>
      <c r="C37" s="35"/>
      <c r="D37" s="3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</row>
    <row r="38" spans="1:73" ht="16.5" customHeight="1" x14ac:dyDescent="0.3">
      <c r="A38" s="39" t="s">
        <v>20</v>
      </c>
      <c r="B38" s="67">
        <f ca="1">NOW()</f>
        <v>44210.420844560183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</row>
    <row r="39" spans="1:73" x14ac:dyDescent="0.25"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</row>
    <row r="40" spans="1:73" x14ac:dyDescent="0.25"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</row>
    <row r="41" spans="1:73" x14ac:dyDescent="0.25"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</row>
    <row r="42" spans="1:73" x14ac:dyDescent="0.25">
      <c r="F42" s="15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</row>
    <row r="43" spans="1:73" x14ac:dyDescent="0.25"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</row>
    <row r="44" spans="1:73" x14ac:dyDescent="0.25"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</row>
    <row r="45" spans="1:73" x14ac:dyDescent="0.25"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</row>
    <row r="46" spans="1:73" x14ac:dyDescent="0.25"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</row>
    <row r="47" spans="1:73" x14ac:dyDescent="0.25"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</row>
    <row r="48" spans="1:73" x14ac:dyDescent="0.25"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</row>
    <row r="49" spans="15:73" x14ac:dyDescent="0.25"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</row>
    <row r="50" spans="15:73" x14ac:dyDescent="0.25"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</row>
    <row r="51" spans="15:73" x14ac:dyDescent="0.25"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</row>
    <row r="52" spans="15:73" x14ac:dyDescent="0.25"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</row>
    <row r="53" spans="15:73" x14ac:dyDescent="0.25"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</row>
    <row r="54" spans="15:73" x14ac:dyDescent="0.25"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</row>
    <row r="55" spans="15:73" x14ac:dyDescent="0.25"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</row>
    <row r="56" spans="15:73" x14ac:dyDescent="0.25"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</row>
    <row r="57" spans="15:73" x14ac:dyDescent="0.25"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</row>
    <row r="58" spans="15:73" x14ac:dyDescent="0.25"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</row>
    <row r="59" spans="15:73" x14ac:dyDescent="0.25"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0" spans="15:73" x14ac:dyDescent="0.25"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</row>
    <row r="61" spans="15:73" x14ac:dyDescent="0.25"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</row>
    <row r="62" spans="15:73" x14ac:dyDescent="0.25"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</row>
    <row r="63" spans="15:73" x14ac:dyDescent="0.25"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</row>
    <row r="64" spans="15:73" x14ac:dyDescent="0.25"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</row>
    <row r="65" spans="15:73" x14ac:dyDescent="0.25"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</row>
    <row r="66" spans="15:73" x14ac:dyDescent="0.25"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</row>
    <row r="67" spans="15:73" x14ac:dyDescent="0.25"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</row>
    <row r="68" spans="15:73" x14ac:dyDescent="0.25"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</row>
    <row r="69" spans="15:73" x14ac:dyDescent="0.25"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</row>
    <row r="70" spans="15:73" x14ac:dyDescent="0.25"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</row>
    <row r="71" spans="15:73" x14ac:dyDescent="0.25"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</row>
    <row r="72" spans="15:73" x14ac:dyDescent="0.25"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</row>
    <row r="73" spans="15:73" x14ac:dyDescent="0.25"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</row>
    <row r="74" spans="15:73" x14ac:dyDescent="0.25"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</row>
    <row r="75" spans="15:73" x14ac:dyDescent="0.25"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</row>
    <row r="76" spans="15:73" x14ac:dyDescent="0.25"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</row>
    <row r="77" spans="15:73" x14ac:dyDescent="0.25"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</row>
    <row r="78" spans="15:73" x14ac:dyDescent="0.25"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</row>
    <row r="79" spans="15:73" x14ac:dyDescent="0.25"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</row>
    <row r="80" spans="15:73" x14ac:dyDescent="0.25"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</row>
    <row r="81" spans="15:73" x14ac:dyDescent="0.25"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</row>
    <row r="82" spans="15:73" x14ac:dyDescent="0.25"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</row>
    <row r="83" spans="15:73" x14ac:dyDescent="0.25"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</row>
    <row r="84" spans="15:73" x14ac:dyDescent="0.25"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</row>
    <row r="85" spans="15:73" x14ac:dyDescent="0.25"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</row>
    <row r="86" spans="15:73" x14ac:dyDescent="0.25"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</row>
    <row r="87" spans="15:73" x14ac:dyDescent="0.25"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</row>
    <row r="88" spans="15:73" x14ac:dyDescent="0.25"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</row>
    <row r="89" spans="15:73" x14ac:dyDescent="0.25"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</row>
    <row r="90" spans="15:73" x14ac:dyDescent="0.25"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</row>
    <row r="91" spans="15:73" x14ac:dyDescent="0.25"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</row>
    <row r="92" spans="15:73" x14ac:dyDescent="0.25"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</row>
    <row r="93" spans="15:73" x14ac:dyDescent="0.25"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</row>
    <row r="94" spans="15:73" x14ac:dyDescent="0.25"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</row>
    <row r="95" spans="15:73" x14ac:dyDescent="0.25"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</row>
    <row r="96" spans="15:73" x14ac:dyDescent="0.25"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</row>
    <row r="97" spans="15:73" x14ac:dyDescent="0.25"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</row>
    <row r="98" spans="15:73" x14ac:dyDescent="0.25"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</row>
    <row r="99" spans="15:73" x14ac:dyDescent="0.25"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</row>
    <row r="100" spans="15:73" x14ac:dyDescent="0.25"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</row>
    <row r="101" spans="15:73" x14ac:dyDescent="0.25"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</row>
    <row r="102" spans="15:73" x14ac:dyDescent="0.25"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</row>
    <row r="103" spans="15:73" x14ac:dyDescent="0.25"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</row>
    <row r="104" spans="15:73" x14ac:dyDescent="0.25"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</row>
    <row r="105" spans="15:73" x14ac:dyDescent="0.25"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</row>
    <row r="106" spans="15:73" x14ac:dyDescent="0.25"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</row>
    <row r="107" spans="15:73" x14ac:dyDescent="0.25"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</row>
    <row r="108" spans="15:73" x14ac:dyDescent="0.25"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</row>
    <row r="109" spans="15:73" x14ac:dyDescent="0.25"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</row>
    <row r="110" spans="15:73" x14ac:dyDescent="0.25"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</row>
    <row r="111" spans="15:73" x14ac:dyDescent="0.25"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</row>
    <row r="112" spans="15:73" x14ac:dyDescent="0.25"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</row>
    <row r="113" spans="15:73" x14ac:dyDescent="0.25"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</row>
    <row r="114" spans="15:73" x14ac:dyDescent="0.25"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</row>
    <row r="115" spans="15:73" x14ac:dyDescent="0.25"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</row>
    <row r="116" spans="15:73" x14ac:dyDescent="0.25"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</row>
    <row r="117" spans="15:73" x14ac:dyDescent="0.25"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</row>
    <row r="118" spans="15:73" x14ac:dyDescent="0.25"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</row>
    <row r="119" spans="15:73" x14ac:dyDescent="0.25"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</row>
    <row r="120" spans="15:73" x14ac:dyDescent="0.25"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</row>
    <row r="121" spans="15:73" x14ac:dyDescent="0.25"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</row>
    <row r="122" spans="15:73" x14ac:dyDescent="0.25"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</row>
    <row r="123" spans="15:73" x14ac:dyDescent="0.25"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</row>
    <row r="124" spans="15:73" x14ac:dyDescent="0.25"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</row>
    <row r="125" spans="15:73" x14ac:dyDescent="0.25"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</row>
    <row r="126" spans="15:73" x14ac:dyDescent="0.25"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</row>
    <row r="127" spans="15:73" x14ac:dyDescent="0.25"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</row>
    <row r="128" spans="15:73" x14ac:dyDescent="0.25"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</row>
    <row r="129" spans="15:73" x14ac:dyDescent="0.25"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</row>
    <row r="130" spans="15:73" x14ac:dyDescent="0.25"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</row>
    <row r="131" spans="15:73" x14ac:dyDescent="0.25"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</row>
    <row r="132" spans="15:73" x14ac:dyDescent="0.25"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</row>
    <row r="133" spans="15:73" x14ac:dyDescent="0.25"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</row>
    <row r="134" spans="15:73" x14ac:dyDescent="0.25"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</row>
    <row r="135" spans="15:73" x14ac:dyDescent="0.25"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</row>
    <row r="136" spans="15:73" x14ac:dyDescent="0.25"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</row>
    <row r="137" spans="15:73" x14ac:dyDescent="0.25"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</row>
    <row r="138" spans="15:73" x14ac:dyDescent="0.25"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</row>
    <row r="139" spans="15:73" x14ac:dyDescent="0.25"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</row>
    <row r="140" spans="15:73" x14ac:dyDescent="0.25"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</row>
    <row r="141" spans="15:73" x14ac:dyDescent="0.25"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</row>
    <row r="142" spans="15:73" x14ac:dyDescent="0.25"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</row>
    <row r="143" spans="15:73" x14ac:dyDescent="0.25"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</row>
    <row r="144" spans="15:73" x14ac:dyDescent="0.25"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</row>
    <row r="145" spans="15:73" x14ac:dyDescent="0.25"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</row>
    <row r="146" spans="15:73" x14ac:dyDescent="0.25"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</row>
    <row r="147" spans="15:73" x14ac:dyDescent="0.25"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</row>
    <row r="148" spans="15:73" x14ac:dyDescent="0.25"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</row>
    <row r="149" spans="15:73" x14ac:dyDescent="0.25"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</row>
    <row r="150" spans="15:73" x14ac:dyDescent="0.25"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</row>
    <row r="151" spans="15:73" x14ac:dyDescent="0.25"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</row>
    <row r="152" spans="15:73" x14ac:dyDescent="0.25"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</row>
    <row r="153" spans="15:73" x14ac:dyDescent="0.25"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</row>
    <row r="154" spans="15:73" x14ac:dyDescent="0.25"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</row>
    <row r="155" spans="15:73" x14ac:dyDescent="0.25"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</row>
    <row r="156" spans="15:73" x14ac:dyDescent="0.25"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</row>
    <row r="157" spans="15:73" x14ac:dyDescent="0.25"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</row>
    <row r="158" spans="15:73" x14ac:dyDescent="0.25"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</row>
    <row r="159" spans="15:73" x14ac:dyDescent="0.25"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</row>
    <row r="160" spans="15:73" x14ac:dyDescent="0.25"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</row>
    <row r="161" spans="15:73" x14ac:dyDescent="0.25"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</row>
    <row r="162" spans="15:73" x14ac:dyDescent="0.25"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</row>
    <row r="163" spans="15:73" x14ac:dyDescent="0.25"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</row>
    <row r="164" spans="15:73" x14ac:dyDescent="0.25"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</row>
    <row r="165" spans="15:73" x14ac:dyDescent="0.25"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</row>
    <row r="166" spans="15:73" x14ac:dyDescent="0.25"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</row>
    <row r="167" spans="15:73" x14ac:dyDescent="0.25"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</row>
    <row r="168" spans="15:73" x14ac:dyDescent="0.25"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</row>
    <row r="169" spans="15:73" x14ac:dyDescent="0.25"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</row>
    <row r="170" spans="15:73" x14ac:dyDescent="0.25"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</row>
    <row r="171" spans="15:73" x14ac:dyDescent="0.25"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</row>
    <row r="172" spans="15:73" x14ac:dyDescent="0.25"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</row>
    <row r="173" spans="15:73" x14ac:dyDescent="0.25"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</row>
    <row r="174" spans="15:73" x14ac:dyDescent="0.25"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</row>
    <row r="175" spans="15:73" x14ac:dyDescent="0.25"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</row>
    <row r="176" spans="15:73" x14ac:dyDescent="0.25"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</row>
    <row r="177" spans="15:73" x14ac:dyDescent="0.25"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</row>
    <row r="178" spans="15:73" x14ac:dyDescent="0.25"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</row>
    <row r="179" spans="15:73" x14ac:dyDescent="0.25"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</row>
    <row r="180" spans="15:73" x14ac:dyDescent="0.25"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</row>
    <row r="181" spans="15:73" x14ac:dyDescent="0.25"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</row>
    <row r="182" spans="15:73" x14ac:dyDescent="0.25"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</row>
    <row r="183" spans="15:73" x14ac:dyDescent="0.25"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</row>
    <row r="184" spans="15:73" x14ac:dyDescent="0.25"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</row>
    <row r="185" spans="15:73" x14ac:dyDescent="0.25"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</row>
    <row r="186" spans="15:73" x14ac:dyDescent="0.25"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</row>
    <row r="187" spans="15:73" x14ac:dyDescent="0.25"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</row>
    <row r="188" spans="15:73" x14ac:dyDescent="0.25"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</row>
    <row r="189" spans="15:73" x14ac:dyDescent="0.25"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</row>
    <row r="190" spans="15:73" x14ac:dyDescent="0.25"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</row>
    <row r="191" spans="15:73" x14ac:dyDescent="0.25"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</row>
    <row r="192" spans="15:73" x14ac:dyDescent="0.25"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</row>
    <row r="193" spans="15:73" x14ac:dyDescent="0.25"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</row>
    <row r="194" spans="15:73" x14ac:dyDescent="0.25"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</row>
    <row r="195" spans="15:73" x14ac:dyDescent="0.25"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</row>
    <row r="196" spans="15:73" x14ac:dyDescent="0.25"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</row>
    <row r="197" spans="15:73" x14ac:dyDescent="0.25"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</row>
    <row r="198" spans="15:73" x14ac:dyDescent="0.25"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</row>
    <row r="199" spans="15:73" x14ac:dyDescent="0.25"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</row>
    <row r="200" spans="15:73" x14ac:dyDescent="0.25"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</row>
    <row r="201" spans="15:73" x14ac:dyDescent="0.25"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</row>
    <row r="202" spans="15:73" x14ac:dyDescent="0.25"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</row>
    <row r="203" spans="15:73" x14ac:dyDescent="0.25"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</row>
    <row r="204" spans="15:73" x14ac:dyDescent="0.25"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</row>
    <row r="205" spans="15:73" x14ac:dyDescent="0.25"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</row>
    <row r="206" spans="15:73" x14ac:dyDescent="0.25"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</row>
    <row r="207" spans="15:73" x14ac:dyDescent="0.25"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</row>
    <row r="208" spans="15:73" x14ac:dyDescent="0.25"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</row>
    <row r="209" spans="15:73" x14ac:dyDescent="0.25"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</row>
    <row r="210" spans="15:73" x14ac:dyDescent="0.25"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</row>
    <row r="211" spans="15:73" x14ac:dyDescent="0.25"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</row>
    <row r="212" spans="15:73" x14ac:dyDescent="0.25"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</row>
    <row r="213" spans="15:73" x14ac:dyDescent="0.25"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</row>
    <row r="214" spans="15:73" x14ac:dyDescent="0.25"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</row>
    <row r="215" spans="15:73" x14ac:dyDescent="0.25"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</row>
    <row r="216" spans="15:73" x14ac:dyDescent="0.25"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</row>
    <row r="217" spans="15:73" x14ac:dyDescent="0.25"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</row>
    <row r="218" spans="15:73" x14ac:dyDescent="0.25"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</row>
    <row r="219" spans="15:73" x14ac:dyDescent="0.25"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</row>
    <row r="220" spans="15:73" x14ac:dyDescent="0.25"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</row>
    <row r="221" spans="15:73" x14ac:dyDescent="0.25"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</row>
    <row r="222" spans="15:73" x14ac:dyDescent="0.25"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</row>
    <row r="223" spans="15:73" x14ac:dyDescent="0.25"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</row>
    <row r="224" spans="15:73" x14ac:dyDescent="0.25"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</row>
    <row r="225" spans="15:73" x14ac:dyDescent="0.25"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</row>
    <row r="226" spans="15:73" x14ac:dyDescent="0.25"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</row>
    <row r="227" spans="15:73" x14ac:dyDescent="0.25"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</row>
    <row r="228" spans="15:73" x14ac:dyDescent="0.25"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</row>
    <row r="229" spans="15:73" x14ac:dyDescent="0.25"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</row>
    <row r="230" spans="15:73" x14ac:dyDescent="0.25"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</row>
    <row r="231" spans="15:73" x14ac:dyDescent="0.25"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</row>
    <row r="232" spans="15:73" x14ac:dyDescent="0.25"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</row>
    <row r="233" spans="15:73" x14ac:dyDescent="0.25"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</row>
    <row r="234" spans="15:73" x14ac:dyDescent="0.25"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</row>
    <row r="235" spans="15:73" x14ac:dyDescent="0.25"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</row>
    <row r="236" spans="15:73" x14ac:dyDescent="0.25"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</row>
    <row r="237" spans="15:73" x14ac:dyDescent="0.25"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</row>
    <row r="238" spans="15:73" x14ac:dyDescent="0.25"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</row>
    <row r="239" spans="15:73" x14ac:dyDescent="0.25"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</row>
    <row r="240" spans="15:73" x14ac:dyDescent="0.25"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</row>
    <row r="241" spans="15:73" x14ac:dyDescent="0.25"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</row>
    <row r="242" spans="15:73" x14ac:dyDescent="0.25"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</row>
    <row r="243" spans="15:73" x14ac:dyDescent="0.25"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</row>
    <row r="244" spans="15:73" x14ac:dyDescent="0.25"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</row>
    <row r="245" spans="15:73" x14ac:dyDescent="0.25"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</row>
    <row r="246" spans="15:73" x14ac:dyDescent="0.25"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</row>
    <row r="247" spans="15:73" x14ac:dyDescent="0.25"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</row>
    <row r="248" spans="15:73" x14ac:dyDescent="0.25"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</row>
    <row r="249" spans="15:73" x14ac:dyDescent="0.25"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</row>
    <row r="250" spans="15:73" x14ac:dyDescent="0.25"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</row>
    <row r="251" spans="15:73" x14ac:dyDescent="0.25"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</row>
    <row r="252" spans="15:73" x14ac:dyDescent="0.25"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</row>
    <row r="253" spans="15:73" x14ac:dyDescent="0.25"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</row>
    <row r="254" spans="15:73" x14ac:dyDescent="0.25"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</row>
    <row r="255" spans="15:73" x14ac:dyDescent="0.25"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</row>
    <row r="256" spans="15:73" x14ac:dyDescent="0.25"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</row>
    <row r="257" spans="15:73" x14ac:dyDescent="0.25"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</row>
    <row r="258" spans="15:73" x14ac:dyDescent="0.25"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</row>
    <row r="259" spans="15:73" x14ac:dyDescent="0.25"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</row>
    <row r="260" spans="15:73" x14ac:dyDescent="0.25"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</row>
    <row r="261" spans="15:73" x14ac:dyDescent="0.25"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</row>
    <row r="262" spans="15:73" x14ac:dyDescent="0.25"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</row>
    <row r="263" spans="15:73" x14ac:dyDescent="0.25"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</row>
    <row r="264" spans="15:73" x14ac:dyDescent="0.25"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</row>
    <row r="265" spans="15:73" x14ac:dyDescent="0.25"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</row>
    <row r="266" spans="15:73" x14ac:dyDescent="0.25"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</row>
    <row r="267" spans="15:73" x14ac:dyDescent="0.25"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</row>
    <row r="268" spans="15:73" x14ac:dyDescent="0.25"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</row>
    <row r="269" spans="15:73" x14ac:dyDescent="0.25"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</row>
    <row r="270" spans="15:73" x14ac:dyDescent="0.25"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</row>
    <row r="271" spans="15:73" x14ac:dyDescent="0.25"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</row>
    <row r="272" spans="15:73" x14ac:dyDescent="0.25"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</row>
    <row r="273" spans="15:73" x14ac:dyDescent="0.25"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</row>
    <row r="274" spans="15:73" x14ac:dyDescent="0.25"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</row>
    <row r="275" spans="15:73" x14ac:dyDescent="0.25"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</row>
    <row r="276" spans="15:73" x14ac:dyDescent="0.25"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</row>
    <row r="277" spans="15:73" x14ac:dyDescent="0.25"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</row>
    <row r="278" spans="15:73" x14ac:dyDescent="0.25"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</row>
    <row r="279" spans="15:73" x14ac:dyDescent="0.25"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</row>
    <row r="280" spans="15:73" x14ac:dyDescent="0.25"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</row>
    <row r="281" spans="15:73" x14ac:dyDescent="0.25"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</row>
    <row r="282" spans="15:73" x14ac:dyDescent="0.25"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</row>
    <row r="283" spans="15:73" x14ac:dyDescent="0.25"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</row>
    <row r="284" spans="15:73" x14ac:dyDescent="0.25"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</row>
    <row r="285" spans="15:73" x14ac:dyDescent="0.25"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</row>
    <row r="286" spans="15:73" x14ac:dyDescent="0.25"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</row>
    <row r="287" spans="15:73" x14ac:dyDescent="0.25"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</row>
    <row r="288" spans="15:73" x14ac:dyDescent="0.25"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</row>
    <row r="289" spans="15:73" x14ac:dyDescent="0.25"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</row>
    <row r="290" spans="15:73" x14ac:dyDescent="0.25"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</row>
    <row r="291" spans="15:73" x14ac:dyDescent="0.25"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</row>
    <row r="292" spans="15:73" x14ac:dyDescent="0.25"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</row>
    <row r="293" spans="15:73" x14ac:dyDescent="0.25"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</row>
    <row r="294" spans="15:73" x14ac:dyDescent="0.25"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</row>
    <row r="295" spans="15:73" x14ac:dyDescent="0.25"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</row>
    <row r="296" spans="15:73" x14ac:dyDescent="0.25"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</row>
    <row r="297" spans="15:73" x14ac:dyDescent="0.25"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</row>
    <row r="298" spans="15:73" x14ac:dyDescent="0.25"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</row>
    <row r="299" spans="15:73" x14ac:dyDescent="0.25"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</row>
    <row r="300" spans="15:73" x14ac:dyDescent="0.25"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</row>
    <row r="301" spans="15:73" x14ac:dyDescent="0.25"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</row>
    <row r="302" spans="15:73" x14ac:dyDescent="0.25"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</row>
    <row r="303" spans="15:73" x14ac:dyDescent="0.25"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</row>
    <row r="304" spans="15:73" x14ac:dyDescent="0.25"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</row>
    <row r="305" spans="15:73" x14ac:dyDescent="0.25"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</row>
    <row r="306" spans="15:73" x14ac:dyDescent="0.25"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</row>
    <row r="307" spans="15:73" x14ac:dyDescent="0.25"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</row>
    <row r="308" spans="15:73" x14ac:dyDescent="0.25"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</row>
    <row r="309" spans="15:73" x14ac:dyDescent="0.25"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</row>
    <row r="310" spans="15:73" x14ac:dyDescent="0.25"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</row>
    <row r="311" spans="15:73" x14ac:dyDescent="0.25"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</row>
    <row r="312" spans="15:73" x14ac:dyDescent="0.25"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</row>
    <row r="313" spans="15:73" x14ac:dyDescent="0.25"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</row>
    <row r="314" spans="15:73" x14ac:dyDescent="0.25"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</row>
    <row r="315" spans="15:73" x14ac:dyDescent="0.25"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</row>
    <row r="316" spans="15:73" x14ac:dyDescent="0.25"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</row>
    <row r="317" spans="15:73" x14ac:dyDescent="0.25"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</row>
    <row r="318" spans="15:73" x14ac:dyDescent="0.25"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</row>
    <row r="319" spans="15:73" x14ac:dyDescent="0.25"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</row>
    <row r="320" spans="15:73" x14ac:dyDescent="0.25"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</row>
    <row r="321" spans="15:73" x14ac:dyDescent="0.25"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</row>
    <row r="322" spans="15:73" x14ac:dyDescent="0.25"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</row>
    <row r="323" spans="15:73" x14ac:dyDescent="0.25"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</row>
    <row r="324" spans="15:73" x14ac:dyDescent="0.25"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</row>
    <row r="325" spans="15:73" x14ac:dyDescent="0.25"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</row>
    <row r="326" spans="15:73" x14ac:dyDescent="0.25"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</row>
    <row r="327" spans="15:73" x14ac:dyDescent="0.25"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</row>
    <row r="328" spans="15:73" x14ac:dyDescent="0.25"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</row>
    <row r="329" spans="15:73" x14ac:dyDescent="0.25"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</row>
    <row r="330" spans="15:73" x14ac:dyDescent="0.25"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</row>
    <row r="331" spans="15:73" x14ac:dyDescent="0.25"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</row>
    <row r="332" spans="15:73" x14ac:dyDescent="0.25"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</row>
    <row r="333" spans="15:73" x14ac:dyDescent="0.25"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</row>
    <row r="334" spans="15:73" x14ac:dyDescent="0.25"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</row>
    <row r="335" spans="15:73" x14ac:dyDescent="0.25"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</row>
    <row r="336" spans="15:73" x14ac:dyDescent="0.25"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</row>
    <row r="337" spans="15:73" x14ac:dyDescent="0.25"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</row>
    <row r="338" spans="15:73" x14ac:dyDescent="0.25"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</row>
    <row r="339" spans="15:73" x14ac:dyDescent="0.25"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</row>
    <row r="340" spans="15:73" x14ac:dyDescent="0.25"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</row>
    <row r="341" spans="15:73" x14ac:dyDescent="0.25"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</row>
    <row r="342" spans="15:73" x14ac:dyDescent="0.25"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</row>
    <row r="343" spans="15:73" x14ac:dyDescent="0.25"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</row>
    <row r="344" spans="15:73" x14ac:dyDescent="0.25"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</row>
    <row r="345" spans="15:73" x14ac:dyDescent="0.25"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</row>
    <row r="346" spans="15:73" x14ac:dyDescent="0.25"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</row>
    <row r="347" spans="15:73" x14ac:dyDescent="0.25"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</row>
    <row r="348" spans="15:73" x14ac:dyDescent="0.25"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</row>
    <row r="349" spans="15:73" x14ac:dyDescent="0.25"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</row>
    <row r="350" spans="15:73" x14ac:dyDescent="0.25"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</row>
    <row r="351" spans="15:73" x14ac:dyDescent="0.25"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</row>
    <row r="352" spans="15:73" x14ac:dyDescent="0.25"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</row>
    <row r="353" spans="15:73" x14ac:dyDescent="0.25"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</row>
    <row r="354" spans="15:73" x14ac:dyDescent="0.25"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</row>
    <row r="355" spans="15:73" x14ac:dyDescent="0.25"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</row>
    <row r="356" spans="15:73" x14ac:dyDescent="0.25"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</row>
    <row r="357" spans="15:73" x14ac:dyDescent="0.25"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</row>
    <row r="358" spans="15:73" x14ac:dyDescent="0.25"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</row>
    <row r="359" spans="15:73" x14ac:dyDescent="0.25"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</row>
    <row r="360" spans="15:73" x14ac:dyDescent="0.25"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</row>
    <row r="361" spans="15:73" x14ac:dyDescent="0.25"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</row>
    <row r="362" spans="15:73" x14ac:dyDescent="0.25"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</row>
    <row r="363" spans="15:73" x14ac:dyDescent="0.25"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</row>
    <row r="364" spans="15:73" x14ac:dyDescent="0.25"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</row>
    <row r="365" spans="15:73" x14ac:dyDescent="0.25"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</row>
    <row r="366" spans="15:73" x14ac:dyDescent="0.25"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</row>
    <row r="367" spans="15:73" x14ac:dyDescent="0.25"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</row>
    <row r="368" spans="15:73" x14ac:dyDescent="0.25"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</row>
    <row r="369" spans="15:73" x14ac:dyDescent="0.25"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</row>
    <row r="370" spans="15:73" x14ac:dyDescent="0.25"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</row>
    <row r="371" spans="15:73" x14ac:dyDescent="0.25"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</row>
    <row r="372" spans="15:73" x14ac:dyDescent="0.25"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</row>
    <row r="373" spans="15:73" x14ac:dyDescent="0.25"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</row>
    <row r="374" spans="15:73" x14ac:dyDescent="0.25"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</row>
    <row r="375" spans="15:73" x14ac:dyDescent="0.25"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</row>
    <row r="376" spans="15:73" x14ac:dyDescent="0.25"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</row>
    <row r="377" spans="15:73" x14ac:dyDescent="0.25"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</row>
    <row r="378" spans="15:73" x14ac:dyDescent="0.25"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</row>
    <row r="379" spans="15:73" x14ac:dyDescent="0.25"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</row>
    <row r="380" spans="15:73" x14ac:dyDescent="0.25"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</row>
    <row r="381" spans="15:73" x14ac:dyDescent="0.25"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</row>
    <row r="382" spans="15:73" x14ac:dyDescent="0.25"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</row>
    <row r="383" spans="15:73" x14ac:dyDescent="0.25"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</row>
    <row r="384" spans="15:73" x14ac:dyDescent="0.25"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</row>
    <row r="385" spans="15:73" x14ac:dyDescent="0.25"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</row>
    <row r="386" spans="15:73" x14ac:dyDescent="0.25"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</row>
    <row r="387" spans="15:73" x14ac:dyDescent="0.25"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</row>
    <row r="388" spans="15:73" x14ac:dyDescent="0.25"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</row>
    <row r="389" spans="15:73" x14ac:dyDescent="0.25"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</row>
    <row r="390" spans="15:73" x14ac:dyDescent="0.25"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</row>
    <row r="391" spans="15:73" x14ac:dyDescent="0.25"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</row>
    <row r="392" spans="15:73" x14ac:dyDescent="0.25"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</row>
    <row r="393" spans="15:73" x14ac:dyDescent="0.25"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</row>
    <row r="394" spans="15:73" x14ac:dyDescent="0.25"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</row>
    <row r="395" spans="15:73" x14ac:dyDescent="0.25"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</row>
    <row r="396" spans="15:73" x14ac:dyDescent="0.25"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</row>
    <row r="397" spans="15:73" x14ac:dyDescent="0.25"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</row>
    <row r="398" spans="15:73" x14ac:dyDescent="0.25"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</row>
    <row r="399" spans="15:73" x14ac:dyDescent="0.25"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</row>
    <row r="400" spans="15:73" x14ac:dyDescent="0.25"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</row>
    <row r="401" spans="15:73" x14ac:dyDescent="0.25"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</row>
    <row r="402" spans="15:73" x14ac:dyDescent="0.25"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</row>
    <row r="403" spans="15:73" x14ac:dyDescent="0.25"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</row>
    <row r="404" spans="15:73" x14ac:dyDescent="0.25"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</row>
    <row r="405" spans="15:73" x14ac:dyDescent="0.25"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</row>
    <row r="406" spans="15:73" x14ac:dyDescent="0.25"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</row>
    <row r="407" spans="15:73" x14ac:dyDescent="0.25"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</row>
    <row r="408" spans="15:73" x14ac:dyDescent="0.25"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</row>
    <row r="409" spans="15:73" x14ac:dyDescent="0.25"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</row>
    <row r="410" spans="15:73" x14ac:dyDescent="0.25"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</row>
    <row r="411" spans="15:73" x14ac:dyDescent="0.25"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</row>
    <row r="412" spans="15:73" x14ac:dyDescent="0.25"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</row>
    <row r="413" spans="15:73" x14ac:dyDescent="0.25"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</row>
    <row r="414" spans="15:73" x14ac:dyDescent="0.25"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</row>
    <row r="415" spans="15:73" x14ac:dyDescent="0.25"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</row>
    <row r="416" spans="15:73" x14ac:dyDescent="0.25"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</row>
    <row r="417" spans="15:73" x14ac:dyDescent="0.25"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</row>
    <row r="418" spans="15:73" x14ac:dyDescent="0.25"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</row>
    <row r="419" spans="15:73" x14ac:dyDescent="0.25"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</row>
    <row r="420" spans="15:73" x14ac:dyDescent="0.25"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</row>
    <row r="421" spans="15:73" x14ac:dyDescent="0.25"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</row>
    <row r="422" spans="15:73" x14ac:dyDescent="0.25"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</row>
    <row r="423" spans="15:73" x14ac:dyDescent="0.25"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</row>
    <row r="424" spans="15:73" x14ac:dyDescent="0.25"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</row>
    <row r="425" spans="15:73" x14ac:dyDescent="0.25"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</row>
    <row r="426" spans="15:73" x14ac:dyDescent="0.25"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</row>
    <row r="427" spans="15:73" x14ac:dyDescent="0.25"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</row>
    <row r="428" spans="15:73" x14ac:dyDescent="0.25"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</row>
    <row r="429" spans="15:73" x14ac:dyDescent="0.25"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</row>
    <row r="430" spans="15:73" x14ac:dyDescent="0.25"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</row>
    <row r="431" spans="15:73" x14ac:dyDescent="0.25"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</row>
    <row r="432" spans="15:73" x14ac:dyDescent="0.25"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</row>
    <row r="433" spans="15:73" x14ac:dyDescent="0.25"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</row>
    <row r="434" spans="15:73" x14ac:dyDescent="0.25"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</row>
    <row r="435" spans="15:73" x14ac:dyDescent="0.25"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</row>
    <row r="436" spans="15:73" x14ac:dyDescent="0.25"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</row>
    <row r="437" spans="15:73" x14ac:dyDescent="0.25"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</row>
    <row r="438" spans="15:73" x14ac:dyDescent="0.25"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</row>
    <row r="439" spans="15:73" x14ac:dyDescent="0.25"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</row>
    <row r="440" spans="15:73" x14ac:dyDescent="0.25"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</row>
    <row r="441" spans="15:73" x14ac:dyDescent="0.25"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</row>
    <row r="442" spans="15:73" x14ac:dyDescent="0.25"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</row>
    <row r="443" spans="15:73" x14ac:dyDescent="0.25"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</row>
    <row r="444" spans="15:73" x14ac:dyDescent="0.25"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</row>
    <row r="445" spans="15:73" x14ac:dyDescent="0.25"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</row>
    <row r="446" spans="15:73" x14ac:dyDescent="0.25"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</row>
    <row r="447" spans="15:73" x14ac:dyDescent="0.25"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</row>
    <row r="448" spans="15:73" x14ac:dyDescent="0.25"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</row>
    <row r="449" spans="15:73" x14ac:dyDescent="0.25"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</row>
    <row r="450" spans="15:73" x14ac:dyDescent="0.25"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</row>
    <row r="451" spans="15:73" x14ac:dyDescent="0.25"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</row>
    <row r="452" spans="15:73" x14ac:dyDescent="0.25"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</row>
    <row r="453" spans="15:73" x14ac:dyDescent="0.25"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</row>
    <row r="454" spans="15:73" x14ac:dyDescent="0.25"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</row>
    <row r="455" spans="15:73" x14ac:dyDescent="0.25"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</row>
    <row r="456" spans="15:73" x14ac:dyDescent="0.25"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</row>
    <row r="457" spans="15:73" x14ac:dyDescent="0.25"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</row>
    <row r="458" spans="15:73" x14ac:dyDescent="0.25"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</row>
    <row r="459" spans="15:73" x14ac:dyDescent="0.25"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</row>
    <row r="460" spans="15:73" x14ac:dyDescent="0.25"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</row>
    <row r="461" spans="15:73" x14ac:dyDescent="0.25"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</row>
    <row r="462" spans="15:73" x14ac:dyDescent="0.25"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</row>
    <row r="463" spans="15:73" x14ac:dyDescent="0.25"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</row>
    <row r="464" spans="15:73" x14ac:dyDescent="0.25"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</row>
    <row r="465" spans="15:73" x14ac:dyDescent="0.25"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</row>
    <row r="466" spans="15:73" x14ac:dyDescent="0.25"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</row>
    <row r="467" spans="15:73" x14ac:dyDescent="0.25"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</row>
    <row r="468" spans="15:73" x14ac:dyDescent="0.25"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</row>
    <row r="469" spans="15:73" x14ac:dyDescent="0.25"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</row>
    <row r="470" spans="15:73" x14ac:dyDescent="0.25"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</row>
    <row r="471" spans="15:73" x14ac:dyDescent="0.25"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</row>
    <row r="472" spans="15:73" x14ac:dyDescent="0.25"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</row>
    <row r="473" spans="15:73" x14ac:dyDescent="0.25"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</row>
    <row r="474" spans="15:73" x14ac:dyDescent="0.25"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</row>
    <row r="475" spans="15:73" x14ac:dyDescent="0.25"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</row>
    <row r="476" spans="15:73" x14ac:dyDescent="0.25"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</row>
    <row r="477" spans="15:73" x14ac:dyDescent="0.25"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</row>
    <row r="478" spans="15:73" x14ac:dyDescent="0.25"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</row>
    <row r="479" spans="15:73" x14ac:dyDescent="0.25"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</row>
    <row r="480" spans="15:73" x14ac:dyDescent="0.25"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</row>
    <row r="481" spans="15:73" x14ac:dyDescent="0.25"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</row>
    <row r="482" spans="15:73" x14ac:dyDescent="0.25"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</row>
    <row r="483" spans="15:73" x14ac:dyDescent="0.25"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</row>
    <row r="484" spans="15:73" x14ac:dyDescent="0.25"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</row>
    <row r="485" spans="15:73" x14ac:dyDescent="0.25"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</row>
    <row r="486" spans="15:73" x14ac:dyDescent="0.25"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</row>
    <row r="487" spans="15:73" x14ac:dyDescent="0.25"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</row>
    <row r="488" spans="15:73" x14ac:dyDescent="0.25"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</row>
    <row r="489" spans="15:73" x14ac:dyDescent="0.25"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</row>
    <row r="490" spans="15:73" x14ac:dyDescent="0.25"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</row>
    <row r="491" spans="15:73" x14ac:dyDescent="0.25"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</row>
    <row r="492" spans="15:73" x14ac:dyDescent="0.25"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</row>
    <row r="493" spans="15:73" x14ac:dyDescent="0.25"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</row>
    <row r="494" spans="15:73" x14ac:dyDescent="0.25"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</row>
    <row r="495" spans="15:73" x14ac:dyDescent="0.25"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</row>
    <row r="496" spans="15:73" x14ac:dyDescent="0.25"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</row>
    <row r="497" spans="15:73" x14ac:dyDescent="0.25"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</row>
    <row r="498" spans="15:73" x14ac:dyDescent="0.25"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</row>
    <row r="499" spans="15:73" x14ac:dyDescent="0.25"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</row>
    <row r="500" spans="15:73" x14ac:dyDescent="0.25"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</row>
    <row r="501" spans="15:73" x14ac:dyDescent="0.25"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</row>
    <row r="502" spans="15:73" x14ac:dyDescent="0.25"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</row>
    <row r="503" spans="15:73" x14ac:dyDescent="0.25"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</row>
    <row r="504" spans="15:73" x14ac:dyDescent="0.25"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</row>
    <row r="505" spans="15:73" x14ac:dyDescent="0.25"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</row>
    <row r="506" spans="15:73" x14ac:dyDescent="0.25"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</row>
    <row r="507" spans="15:73" x14ac:dyDescent="0.25"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</row>
    <row r="508" spans="15:73" x14ac:dyDescent="0.25"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</row>
    <row r="509" spans="15:73" x14ac:dyDescent="0.25"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</row>
    <row r="510" spans="15:73" x14ac:dyDescent="0.25"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</row>
    <row r="511" spans="15:73" x14ac:dyDescent="0.25"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</row>
    <row r="512" spans="15:73" x14ac:dyDescent="0.25"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</row>
    <row r="513" spans="15:73" x14ac:dyDescent="0.25"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</row>
    <row r="514" spans="15:73" x14ac:dyDescent="0.25"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</row>
    <row r="515" spans="15:73" x14ac:dyDescent="0.25"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</row>
    <row r="516" spans="15:73" x14ac:dyDescent="0.25"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</row>
    <row r="517" spans="15:73" x14ac:dyDescent="0.25"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</row>
    <row r="518" spans="15:73" x14ac:dyDescent="0.25"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</row>
    <row r="519" spans="15:73" x14ac:dyDescent="0.25"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</row>
    <row r="520" spans="15:73" x14ac:dyDescent="0.25"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</row>
    <row r="521" spans="15:73" x14ac:dyDescent="0.25"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</row>
    <row r="522" spans="15:73" x14ac:dyDescent="0.25"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</row>
    <row r="523" spans="15:73" x14ac:dyDescent="0.25"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</row>
    <row r="524" spans="15:73" x14ac:dyDescent="0.25"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</row>
    <row r="525" spans="15:73" x14ac:dyDescent="0.25"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</row>
    <row r="526" spans="15:73" x14ac:dyDescent="0.25"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</row>
    <row r="527" spans="15:73" x14ac:dyDescent="0.25"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</row>
    <row r="528" spans="15:73" x14ac:dyDescent="0.25"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</row>
    <row r="529" spans="15:73" x14ac:dyDescent="0.25"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</row>
    <row r="530" spans="15:73" x14ac:dyDescent="0.25"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</row>
    <row r="531" spans="15:73" x14ac:dyDescent="0.25"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</row>
    <row r="532" spans="15:73" x14ac:dyDescent="0.25"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</row>
    <row r="533" spans="15:73" x14ac:dyDescent="0.25"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</row>
    <row r="534" spans="15:73" x14ac:dyDescent="0.25"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</row>
    <row r="535" spans="15:73" x14ac:dyDescent="0.25"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</row>
  </sheetData>
  <dataConsolidate/>
  <phoneticPr fontId="3" type="noConversion"/>
  <pageMargins left="0.75" right="0.75" top="1" bottom="1" header="0.5" footer="0.5"/>
  <pageSetup scale="64" orientation="portrait" verticalDpi="300" r:id="rId1"/>
  <headerFooter alignWithMargins="0"/>
  <ignoredErrors>
    <ignoredError sqref="K6:K7 K15 K19 K23 K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37"/>
  <sheetViews>
    <sheetView showGridLines="0" zoomScaleNormal="100" workbookViewId="0"/>
  </sheetViews>
  <sheetFormatPr defaultRowHeight="12.5" x14ac:dyDescent="0.25"/>
  <cols>
    <col min="1" max="1" width="14.7265625" customWidth="1"/>
    <col min="2" max="2" width="11.7265625" customWidth="1"/>
    <col min="3" max="3" width="10.7265625" customWidth="1"/>
    <col min="4" max="4" width="7.7265625" customWidth="1"/>
    <col min="5" max="5" width="10.7265625" customWidth="1"/>
    <col min="6" max="6" width="1.7265625" customWidth="1"/>
    <col min="7" max="10" width="10.7265625" customWidth="1"/>
    <col min="11" max="11" width="7.7265625" customWidth="1"/>
  </cols>
  <sheetData>
    <row r="1" spans="1:12" ht="14" x14ac:dyDescent="0.3">
      <c r="A1" s="34" t="s">
        <v>147</v>
      </c>
      <c r="B1" s="34"/>
      <c r="C1" s="34"/>
      <c r="D1" s="34"/>
      <c r="E1" s="34"/>
      <c r="F1" s="34"/>
      <c r="G1" s="34"/>
      <c r="H1" s="34"/>
      <c r="I1" s="34"/>
      <c r="J1" s="34"/>
    </row>
    <row r="2" spans="1:12" ht="14" x14ac:dyDescent="0.3">
      <c r="A2" s="35"/>
      <c r="B2" s="167" t="s">
        <v>0</v>
      </c>
      <c r="C2" s="167"/>
      <c r="D2" s="167"/>
      <c r="E2" s="167"/>
      <c r="F2" s="38"/>
      <c r="G2" s="167" t="s">
        <v>19</v>
      </c>
      <c r="H2" s="167"/>
      <c r="I2" s="167"/>
      <c r="J2" s="35"/>
    </row>
    <row r="3" spans="1:12" ht="14" x14ac:dyDescent="0.3">
      <c r="A3" s="35" t="s">
        <v>74</v>
      </c>
      <c r="B3" s="37" t="s">
        <v>8</v>
      </c>
      <c r="C3" s="39"/>
      <c r="D3" s="39"/>
      <c r="E3" s="39"/>
      <c r="F3" s="39"/>
      <c r="G3" s="39"/>
      <c r="H3" s="39"/>
      <c r="I3" s="39"/>
      <c r="J3" s="37" t="s">
        <v>28</v>
      </c>
    </row>
    <row r="4" spans="1:12" ht="14" x14ac:dyDescent="0.3">
      <c r="A4" s="40" t="s">
        <v>75</v>
      </c>
      <c r="B4" s="42" t="s">
        <v>27</v>
      </c>
      <c r="C4" s="42" t="s">
        <v>1</v>
      </c>
      <c r="D4" s="42" t="s">
        <v>2</v>
      </c>
      <c r="E4" s="44" t="s">
        <v>26</v>
      </c>
      <c r="F4" s="43"/>
      <c r="G4" s="42" t="s">
        <v>29</v>
      </c>
      <c r="H4" s="42" t="s">
        <v>25</v>
      </c>
      <c r="I4" s="42" t="s">
        <v>26</v>
      </c>
      <c r="J4" s="42" t="s">
        <v>85</v>
      </c>
    </row>
    <row r="5" spans="1:12" ht="14.5" x14ac:dyDescent="0.35">
      <c r="A5" s="35"/>
      <c r="B5" s="168" t="s">
        <v>93</v>
      </c>
      <c r="C5" s="168"/>
      <c r="D5" s="168"/>
      <c r="E5" s="168"/>
      <c r="F5" s="168"/>
      <c r="G5" s="168"/>
      <c r="H5" s="168"/>
      <c r="I5" s="168"/>
      <c r="J5" s="168"/>
    </row>
    <row r="6" spans="1:12" ht="16.5" x14ac:dyDescent="0.3">
      <c r="A6" s="35" t="s">
        <v>140</v>
      </c>
      <c r="B6" s="68">
        <v>555.42399999999998</v>
      </c>
      <c r="C6" s="69">
        <v>48813.759999999995</v>
      </c>
      <c r="D6" s="69">
        <v>683.345988757908</v>
      </c>
      <c r="E6" s="49">
        <f t="shared" ref="E6:E7" si="0">SUM(B6:D6)</f>
        <v>50052.529988757902</v>
      </c>
      <c r="F6" s="69"/>
      <c r="G6" s="69">
        <f t="shared" ref="G6:G7" si="1">I6-H6</f>
        <v>36212.450812999567</v>
      </c>
      <c r="H6" s="69">
        <v>13438.064175758334</v>
      </c>
      <c r="I6" s="69">
        <f t="shared" ref="I6:I7" si="2">E6-J6</f>
        <v>49650.514988757903</v>
      </c>
      <c r="J6" s="69">
        <v>402.01499999999999</v>
      </c>
    </row>
    <row r="7" spans="1:12" ht="16.5" x14ac:dyDescent="0.3">
      <c r="A7" s="35" t="s">
        <v>144</v>
      </c>
      <c r="B7" s="68">
        <f>J6</f>
        <v>402.01499999999999</v>
      </c>
      <c r="C7" s="69">
        <f>C23</f>
        <v>51100.43</v>
      </c>
      <c r="D7" s="69">
        <f>D23</f>
        <v>639.279164260926</v>
      </c>
      <c r="E7" s="49">
        <f t="shared" si="0"/>
        <v>52141.724164260922</v>
      </c>
      <c r="F7" s="69"/>
      <c r="G7" s="69">
        <f t="shared" si="1"/>
        <v>37723.484000376411</v>
      </c>
      <c r="H7" s="69">
        <f>H23</f>
        <v>14076.904163884506</v>
      </c>
      <c r="I7" s="69">
        <f t="shared" si="2"/>
        <v>51800.388164260919</v>
      </c>
      <c r="J7" s="69">
        <f>J22</f>
        <v>341.33600000000001</v>
      </c>
    </row>
    <row r="8" spans="1:12" ht="16.5" x14ac:dyDescent="0.3">
      <c r="A8" s="35" t="s">
        <v>156</v>
      </c>
      <c r="B8" s="68">
        <f>J7</f>
        <v>341.33600000000001</v>
      </c>
      <c r="C8" s="69">
        <v>51959</v>
      </c>
      <c r="D8" s="69">
        <v>600</v>
      </c>
      <c r="E8" s="49">
        <f t="shared" ref="E8" si="3">SUM(B8:D8)</f>
        <v>52900.336000000003</v>
      </c>
      <c r="F8" s="69"/>
      <c r="G8" s="69">
        <f t="shared" ref="G8" si="4">I8-H8</f>
        <v>38300.336000000003</v>
      </c>
      <c r="H8" s="69">
        <v>14250</v>
      </c>
      <c r="I8" s="69">
        <f t="shared" ref="I8" si="5">E8-J8</f>
        <v>52550.336000000003</v>
      </c>
      <c r="J8" s="69">
        <v>350</v>
      </c>
    </row>
    <row r="9" spans="1:12" ht="14" x14ac:dyDescent="0.3">
      <c r="A9" s="35"/>
      <c r="B9" s="70"/>
      <c r="C9" s="70"/>
      <c r="D9" s="70"/>
      <c r="E9" s="70"/>
      <c r="F9" s="70"/>
      <c r="G9" s="69"/>
      <c r="H9" s="70"/>
      <c r="I9" s="70"/>
      <c r="J9" s="70"/>
    </row>
    <row r="10" spans="1:12" ht="15.5" x14ac:dyDescent="0.35">
      <c r="A10" s="38" t="s">
        <v>145</v>
      </c>
      <c r="B10" s="72"/>
      <c r="C10" s="56"/>
      <c r="D10" s="56"/>
      <c r="E10" s="56"/>
      <c r="F10" s="56"/>
      <c r="G10" s="56"/>
      <c r="H10" s="56"/>
      <c r="I10" s="56"/>
      <c r="J10" s="56"/>
      <c r="K10" s="19"/>
      <c r="L10" s="19"/>
    </row>
    <row r="11" spans="1:12" ht="15.5" x14ac:dyDescent="0.35">
      <c r="A11" s="38" t="s">
        <v>50</v>
      </c>
      <c r="B11" s="72">
        <f>360.387+41.628</f>
        <v>402.01499999999999</v>
      </c>
      <c r="C11" s="56">
        <f>4105.453+276.379</f>
        <v>4381.8320000000003</v>
      </c>
      <c r="D11" s="56">
        <f>(34717.207+8327+125.964+103.856)*2.204622/2000</f>
        <v>47.701435976397008</v>
      </c>
      <c r="E11" s="56">
        <f t="shared" ref="E11" si="6">SUM(B11:D11)</f>
        <v>4831.5484359763977</v>
      </c>
      <c r="F11" s="71"/>
      <c r="G11" s="73">
        <f t="shared" ref="G11:G22" si="7">I11-H11</f>
        <v>3326.9284705422137</v>
      </c>
      <c r="H11" s="73">
        <f>((785.683617+14.393+233.530927))*(2.204622/2)</f>
        <v>1139.3569654341841</v>
      </c>
      <c r="I11" s="71">
        <f t="shared" ref="I11:I22" si="8">E11-J11</f>
        <v>4466.2854359763978</v>
      </c>
      <c r="J11" s="73">
        <f>335.087+30.176</f>
        <v>365.26299999999998</v>
      </c>
      <c r="K11" s="19"/>
      <c r="L11" s="19"/>
    </row>
    <row r="12" spans="1:12" ht="15.5" x14ac:dyDescent="0.35">
      <c r="A12" s="38" t="s">
        <v>51</v>
      </c>
      <c r="B12" s="72">
        <f t="shared" ref="B12:B22" si="9">J11</f>
        <v>365.26299999999998</v>
      </c>
      <c r="C12" s="56">
        <f>3855.827+255.945</f>
        <v>4111.7719999999999</v>
      </c>
      <c r="D12" s="56">
        <f>(29823.451+2961+130.165+90.108)*2.204622/2000</f>
        <v>36.381470317164009</v>
      </c>
      <c r="E12" s="56">
        <f t="shared" ref="E12:E18" si="10">SUM(B12:D12)</f>
        <v>4513.4164703171637</v>
      </c>
      <c r="F12" s="56"/>
      <c r="G12" s="73">
        <f t="shared" si="7"/>
        <v>2798.9963823138437</v>
      </c>
      <c r="H12" s="73">
        <f>((866.134196+3.458+261.673924))*(2.204622/2)</f>
        <v>1247.00708800332</v>
      </c>
      <c r="I12" s="71">
        <f t="shared" si="8"/>
        <v>4046.0034703171636</v>
      </c>
      <c r="J12" s="56">
        <f>426.332+41.081</f>
        <v>467.41300000000001</v>
      </c>
      <c r="K12" s="19"/>
      <c r="L12" s="19"/>
    </row>
    <row r="13" spans="1:12" ht="15.5" x14ac:dyDescent="0.35">
      <c r="A13" s="38" t="s">
        <v>52</v>
      </c>
      <c r="B13" s="72">
        <f t="shared" si="9"/>
        <v>467.41300000000001</v>
      </c>
      <c r="C13" s="56">
        <f>4062.929+274.643</f>
        <v>4337.5720000000001</v>
      </c>
      <c r="D13" s="56">
        <f>(33710.056+13585+182.009+72.517)*2.204622/2000</f>
        <v>52.414427284001995</v>
      </c>
      <c r="E13" s="56">
        <f t="shared" si="10"/>
        <v>4857.3994272840027</v>
      </c>
      <c r="F13" s="56"/>
      <c r="G13" s="73">
        <f t="shared" si="7"/>
        <v>3384.5441774417495</v>
      </c>
      <c r="H13" s="73">
        <f>((764.679901+9.721+219.677222))*(2.204622/2)</f>
        <v>1095.7832498422531</v>
      </c>
      <c r="I13" s="71">
        <f t="shared" si="8"/>
        <v>4480.3274272840026</v>
      </c>
      <c r="J13" s="56">
        <f>342.085+34.987</f>
        <v>377.072</v>
      </c>
      <c r="K13" s="19"/>
      <c r="L13" s="19"/>
    </row>
    <row r="14" spans="1:12" ht="15.5" x14ac:dyDescent="0.35">
      <c r="A14" s="38" t="s">
        <v>53</v>
      </c>
      <c r="B14" s="72">
        <f t="shared" si="9"/>
        <v>377.072</v>
      </c>
      <c r="C14" s="56">
        <f>4144.355+281.394</f>
        <v>4425.7489999999998</v>
      </c>
      <c r="D14" s="56">
        <f>(50090.882+4913+179.878+155.261)*2.204622/2000</f>
        <v>61.000811577530996</v>
      </c>
      <c r="E14" s="56">
        <f t="shared" si="10"/>
        <v>4863.8218115775308</v>
      </c>
      <c r="F14" s="56"/>
      <c r="G14" s="73">
        <f t="shared" si="7"/>
        <v>3435.4339578735735</v>
      </c>
      <c r="H14" s="73">
        <f>((709.103359+18.259+255.531628))*(2.204622/2)</f>
        <v>1083.454853703957</v>
      </c>
      <c r="I14" s="71">
        <f t="shared" si="8"/>
        <v>4518.8888115775308</v>
      </c>
      <c r="J14" s="56">
        <f>302.321+42.612</f>
        <v>344.93300000000005</v>
      </c>
      <c r="K14" s="19"/>
      <c r="L14" s="19"/>
    </row>
    <row r="15" spans="1:12" ht="15.5" x14ac:dyDescent="0.35">
      <c r="A15" s="38" t="s">
        <v>54</v>
      </c>
      <c r="B15" s="72">
        <f t="shared" si="9"/>
        <v>344.93300000000005</v>
      </c>
      <c r="C15" s="56">
        <f>3863.475+259.153</f>
        <v>4122.6279999999997</v>
      </c>
      <c r="D15" s="56">
        <f>(41456.755+3685+293.02+207.359)*2.204622/2000</f>
        <v>50.311826371673988</v>
      </c>
      <c r="E15" s="56">
        <f t="shared" si="10"/>
        <v>4517.8728263716739</v>
      </c>
      <c r="F15" s="56"/>
      <c r="G15" s="73">
        <f t="shared" si="7"/>
        <v>2687.3697811372549</v>
      </c>
      <c r="H15" s="73">
        <f>((1026.306442+5.115+227.891987))*(2.204622/2)</f>
        <v>1388.155045234419</v>
      </c>
      <c r="I15" s="71">
        <f t="shared" si="8"/>
        <v>4075.524826371674</v>
      </c>
      <c r="J15" s="56">
        <f>396.511+45.837</f>
        <v>442.34800000000001</v>
      </c>
      <c r="K15" s="19"/>
      <c r="L15" s="19"/>
    </row>
    <row r="16" spans="1:12" ht="15.5" x14ac:dyDescent="0.35">
      <c r="A16" s="38" t="s">
        <v>55</v>
      </c>
      <c r="B16" s="72">
        <f t="shared" si="9"/>
        <v>442.34800000000001</v>
      </c>
      <c r="C16" s="56">
        <f>4234.605+283.308</f>
        <v>4517.9129999999996</v>
      </c>
      <c r="D16" s="56">
        <f>(52975.114+4417+49.514+310.515)*2.204622/2000</f>
        <v>63.660822502473003</v>
      </c>
      <c r="E16" s="56">
        <f t="shared" si="10"/>
        <v>5023.9218225024724</v>
      </c>
      <c r="F16" s="56"/>
      <c r="G16" s="73">
        <f t="shared" si="7"/>
        <v>3277.7267723843088</v>
      </c>
      <c r="H16" s="73">
        <f>((966.396996+5.084+236.114728))*(2.204622/2)</f>
        <v>1331.1460501181639</v>
      </c>
      <c r="I16" s="71">
        <f t="shared" si="8"/>
        <v>4608.8728225024724</v>
      </c>
      <c r="J16" s="56">
        <f>368.552+46.497</f>
        <v>415.04900000000004</v>
      </c>
      <c r="K16" s="19"/>
      <c r="L16" s="19"/>
    </row>
    <row r="17" spans="1:12" ht="15.5" x14ac:dyDescent="0.35">
      <c r="A17" s="38" t="s">
        <v>56</v>
      </c>
      <c r="B17" s="72">
        <f t="shared" si="9"/>
        <v>415.04900000000004</v>
      </c>
      <c r="C17" s="56">
        <f>4039.265+272.912</f>
        <v>4312.1769999999997</v>
      </c>
      <c r="D17" s="56">
        <f>(43596.712+4455+129.156+140.58)*2.204622/2000</f>
        <v>53.265263666328003</v>
      </c>
      <c r="E17" s="56">
        <f t="shared" si="10"/>
        <v>4780.4912636663275</v>
      </c>
      <c r="F17" s="56"/>
      <c r="G17" s="73">
        <f t="shared" si="7"/>
        <v>3177.7169864129364</v>
      </c>
      <c r="H17" s="73">
        <f>((860.759415+13.997+228.907866))*(2.204622/2)</f>
        <v>1216.5812772533909</v>
      </c>
      <c r="I17" s="71">
        <f t="shared" si="8"/>
        <v>4394.2982636663273</v>
      </c>
      <c r="J17" s="56">
        <f>341.681+44.512</f>
        <v>386.19299999999998</v>
      </c>
      <c r="K17" s="19"/>
      <c r="L17" s="19"/>
    </row>
    <row r="18" spans="1:12" ht="15.5" x14ac:dyDescent="0.35">
      <c r="A18" s="38" t="s">
        <v>57</v>
      </c>
      <c r="B18" s="72">
        <f t="shared" si="9"/>
        <v>386.19299999999998</v>
      </c>
      <c r="C18" s="56">
        <f>3970.047+270.933</f>
        <v>4240.9799999999996</v>
      </c>
      <c r="D18" s="56">
        <f>(37305.065+3502+57.044+184.091)*2.204622/2000</f>
        <v>45.247882390200004</v>
      </c>
      <c r="E18" s="56">
        <f t="shared" si="10"/>
        <v>4672.4208823901999</v>
      </c>
      <c r="F18" s="56"/>
      <c r="G18" s="73">
        <f t="shared" si="7"/>
        <v>3079.8223548584401</v>
      </c>
      <c r="H18" s="73">
        <f>((740.918471+16.721+235.502689))*(2.204622/2)</f>
        <v>1094.7515275317601</v>
      </c>
      <c r="I18" s="71">
        <f t="shared" si="8"/>
        <v>4174.5738823902002</v>
      </c>
      <c r="J18" s="56">
        <f>442.173+55.674</f>
        <v>497.84699999999998</v>
      </c>
      <c r="K18" s="19"/>
      <c r="L18" s="19"/>
    </row>
    <row r="19" spans="1:12" ht="15.5" x14ac:dyDescent="0.35">
      <c r="A19" s="38" t="s">
        <v>58</v>
      </c>
      <c r="B19" s="72">
        <f t="shared" si="9"/>
        <v>497.84699999999998</v>
      </c>
      <c r="C19" s="56">
        <f>3904.725+262.751</f>
        <v>4167.4759999999997</v>
      </c>
      <c r="D19" s="56">
        <f>(33413.436+2627+130.744+121.582)*2.204622/2000</f>
        <v>40.005910772982006</v>
      </c>
      <c r="E19" s="56">
        <f t="shared" ref="E19" si="11">SUM(B19:D19)</f>
        <v>4705.3289107729815</v>
      </c>
      <c r="F19" s="56"/>
      <c r="G19" s="73">
        <f t="shared" si="7"/>
        <v>3062.0751743096025</v>
      </c>
      <c r="H19" s="73">
        <f>((823.744033+10.41+237.186756))*(2.204622/2)</f>
        <v>1180.9507364633789</v>
      </c>
      <c r="I19" s="71">
        <f t="shared" si="8"/>
        <v>4243.0259107729817</v>
      </c>
      <c r="J19" s="56">
        <f>420.426+41.877</f>
        <v>462.303</v>
      </c>
      <c r="K19" s="19"/>
      <c r="L19" s="19"/>
    </row>
    <row r="20" spans="1:12" ht="15.5" x14ac:dyDescent="0.35">
      <c r="A20" s="38" t="s">
        <v>60</v>
      </c>
      <c r="B20" s="72">
        <f t="shared" si="9"/>
        <v>462.303</v>
      </c>
      <c r="C20" s="56">
        <f>4080.746+280.424</f>
        <v>4361.17</v>
      </c>
      <c r="D20" s="56">
        <f>(47678.67+3348+387.614+915.017)*2.204622/2000</f>
        <v>57.683164114611003</v>
      </c>
      <c r="E20" s="56">
        <f t="shared" ref="E20" si="12">SUM(B20:D20)</f>
        <v>4881.1561641146109</v>
      </c>
      <c r="F20" s="56"/>
      <c r="G20" s="73">
        <f t="shared" si="7"/>
        <v>3284.6331330738053</v>
      </c>
      <c r="H20" s="73">
        <f>((790.336731+7.915+241.385024))*(2.204622/2)</f>
        <v>1146.0030310408051</v>
      </c>
      <c r="I20" s="71">
        <f t="shared" si="8"/>
        <v>4430.6361641146104</v>
      </c>
      <c r="J20" s="56">
        <f>411.925+38.595</f>
        <v>450.52</v>
      </c>
      <c r="K20" s="19"/>
      <c r="L20" s="19"/>
    </row>
    <row r="21" spans="1:12" ht="15.5" x14ac:dyDescent="0.35">
      <c r="A21" s="38" t="s">
        <v>61</v>
      </c>
      <c r="B21" s="72">
        <f t="shared" si="9"/>
        <v>450.52</v>
      </c>
      <c r="C21" s="56">
        <f>3851.205+260.54</f>
        <v>4111.7449999999999</v>
      </c>
      <c r="D21" s="56">
        <f>(45234.399+8392+185.404+1077.226)*2.204622/2000</f>
        <v>60.504780446019005</v>
      </c>
      <c r="E21" s="56">
        <f t="shared" ref="E21" si="13">SUM(B21:D21)</f>
        <v>4622.7697804460186</v>
      </c>
      <c r="F21" s="56"/>
      <c r="G21" s="73">
        <f t="shared" si="7"/>
        <v>3106.233034962208</v>
      </c>
      <c r="H21" s="73">
        <f>((748.764091+13.463+231.53941))*(2.204622/2)</f>
        <v>1095.4397454838111</v>
      </c>
      <c r="I21" s="71">
        <f t="shared" si="8"/>
        <v>4201.6727804460188</v>
      </c>
      <c r="J21" s="56">
        <f>388.138+32.959</f>
        <v>421.09699999999998</v>
      </c>
      <c r="K21" s="19"/>
      <c r="L21" s="19"/>
    </row>
    <row r="22" spans="1:12" ht="15.5" x14ac:dyDescent="0.35">
      <c r="A22" s="38" t="s">
        <v>63</v>
      </c>
      <c r="B22" s="72">
        <f t="shared" si="9"/>
        <v>421.09699999999998</v>
      </c>
      <c r="C22" s="56">
        <f>3754.168+255.248</f>
        <v>4009.4160000000002</v>
      </c>
      <c r="D22" s="56">
        <f>(60244.927+3644+284.761+328.407)*2.204622/2000</f>
        <v>71.101368841544996</v>
      </c>
      <c r="E22" s="56">
        <f t="shared" ref="E22" si="14">SUM(B22:D22)</f>
        <v>4501.614368841545</v>
      </c>
      <c r="F22" s="56"/>
      <c r="G22" s="73">
        <f t="shared" si="7"/>
        <v>3102.0037750664815</v>
      </c>
      <c r="H22" s="73">
        <f>((724.522648+15.008+220.520185))*(2.204622/2)</f>
        <v>1058.2745937750631</v>
      </c>
      <c r="I22" s="71">
        <f t="shared" si="8"/>
        <v>4160.2783688415448</v>
      </c>
      <c r="J22" s="56">
        <f>312.944+28.392</f>
        <v>341.33600000000001</v>
      </c>
      <c r="K22" s="19"/>
      <c r="L22" s="19"/>
    </row>
    <row r="23" spans="1:12" ht="15.5" x14ac:dyDescent="0.35">
      <c r="A23" s="38" t="s">
        <v>3</v>
      </c>
      <c r="B23" s="72"/>
      <c r="C23" s="56">
        <f>SUM(C11:C22)</f>
        <v>51100.43</v>
      </c>
      <c r="D23" s="56">
        <f>SUM(D11:D22)</f>
        <v>639.279164260926</v>
      </c>
      <c r="E23" s="56">
        <f>B11+C23+D23</f>
        <v>52141.724164260922</v>
      </c>
      <c r="F23" s="56"/>
      <c r="G23" s="73">
        <f t="shared" ref="G23:I23" si="15">SUM(G11:G22)</f>
        <v>37723.484000376426</v>
      </c>
      <c r="H23" s="73">
        <f t="shared" si="15"/>
        <v>14076.904163884506</v>
      </c>
      <c r="I23" s="71">
        <f t="shared" si="15"/>
        <v>51800.388164260919</v>
      </c>
      <c r="J23" s="56"/>
      <c r="K23" s="19"/>
      <c r="L23" s="19"/>
    </row>
    <row r="24" spans="1:12" ht="15.5" x14ac:dyDescent="0.35">
      <c r="A24" s="38"/>
      <c r="B24" s="72"/>
      <c r="C24" s="56"/>
      <c r="D24" s="56"/>
      <c r="E24" s="56"/>
      <c r="F24" s="56"/>
      <c r="G24" s="56"/>
      <c r="H24" s="56"/>
      <c r="I24" s="56"/>
      <c r="J24" s="56"/>
      <c r="K24" s="19"/>
      <c r="L24" s="19"/>
    </row>
    <row r="25" spans="1:12" ht="15.5" x14ac:dyDescent="0.35">
      <c r="A25" s="38" t="s">
        <v>168</v>
      </c>
      <c r="B25" s="72"/>
      <c r="C25" s="56"/>
      <c r="D25" s="56"/>
      <c r="E25" s="56"/>
      <c r="F25" s="56"/>
      <c r="G25" s="56"/>
      <c r="H25" s="56"/>
      <c r="I25" s="56"/>
      <c r="J25" s="56"/>
      <c r="K25" s="19"/>
      <c r="L25" s="19"/>
    </row>
    <row r="26" spans="1:12" ht="15.5" x14ac:dyDescent="0.35">
      <c r="A26" s="38" t="s">
        <v>50</v>
      </c>
      <c r="B26" s="72">
        <f>J22</f>
        <v>341.33600000000001</v>
      </c>
      <c r="C26" s="56">
        <f>4335.054+280.538</f>
        <v>4615.5920000000006</v>
      </c>
      <c r="D26" s="56">
        <f>(58774.377+3828+317.69+198.763)*2.204622/2000</f>
        <v>69.576580616130002</v>
      </c>
      <c r="E26" s="56">
        <f t="shared" ref="E26" si="16">SUM(B26:D26)</f>
        <v>5026.5045806161306</v>
      </c>
      <c r="F26" s="71"/>
      <c r="G26" s="73">
        <f t="shared" ref="G26" si="17">I26-H26</f>
        <v>3554.9196279000498</v>
      </c>
      <c r="H26" s="73">
        <f>((722.750436+12.73+260.051635))*(2.204622/2)</f>
        <v>1097.3859527160812</v>
      </c>
      <c r="I26" s="71">
        <f t="shared" ref="I26:I27" si="18">E26-J26</f>
        <v>4652.305580616131</v>
      </c>
      <c r="J26" s="73">
        <f>342.914+31.285</f>
        <v>374.19900000000001</v>
      </c>
      <c r="K26" s="19"/>
      <c r="L26" s="19"/>
    </row>
    <row r="27" spans="1:12" ht="15.5" x14ac:dyDescent="0.35">
      <c r="A27" s="38" t="s">
        <v>51</v>
      </c>
      <c r="B27" s="72">
        <f>J26</f>
        <v>374.19900000000001</v>
      </c>
      <c r="C27" s="56">
        <f>4230.274+286.02</f>
        <v>4516.2939999999999</v>
      </c>
      <c r="D27" s="56">
        <f>(57728.983+3553+27.687+527.103)*2.204622/2000</f>
        <v>68.163355082403015</v>
      </c>
      <c r="E27" s="56">
        <f t="shared" ref="E27" si="19">SUM(B27:D27)</f>
        <v>4958.6563550824021</v>
      </c>
      <c r="F27" s="71"/>
      <c r="G27" s="73">
        <f t="shared" ref="G27" si="20">I27-H27</f>
        <v>3210.4986535649587</v>
      </c>
      <c r="H27" s="73">
        <f>((931.442351+17.111+221.480062))*(2.204622/2)</f>
        <v>1289.7407015174431</v>
      </c>
      <c r="I27" s="71">
        <f t="shared" si="18"/>
        <v>4500.2393550824017</v>
      </c>
      <c r="J27" s="73">
        <f>415.107+43.31</f>
        <v>458.41700000000003</v>
      </c>
      <c r="K27" s="19"/>
      <c r="L27" s="19"/>
    </row>
    <row r="28" spans="1:12" ht="15.5" x14ac:dyDescent="0.35">
      <c r="A28" s="34" t="s">
        <v>169</v>
      </c>
      <c r="B28" s="74"/>
      <c r="C28" s="62">
        <f>SUM(C26:C27)</f>
        <v>9131.8860000000004</v>
      </c>
      <c r="D28" s="62">
        <f>SUM(D26:D27)</f>
        <v>137.73993569853303</v>
      </c>
      <c r="E28" s="62">
        <f>B26+C28+D28</f>
        <v>9610.9619356985331</v>
      </c>
      <c r="F28" s="62"/>
      <c r="G28" s="62">
        <f t="shared" ref="G28:I28" si="21">SUM(G26:G27)</f>
        <v>6765.4182814650085</v>
      </c>
      <c r="H28" s="62">
        <f t="shared" si="21"/>
        <v>2387.1266542335243</v>
      </c>
      <c r="I28" s="62">
        <f t="shared" si="21"/>
        <v>9152.5449356985337</v>
      </c>
      <c r="J28" s="62"/>
      <c r="K28" s="19"/>
      <c r="L28" s="19"/>
    </row>
    <row r="29" spans="1:12" ht="17" x14ac:dyDescent="0.35">
      <c r="A29" s="75" t="s">
        <v>154</v>
      </c>
      <c r="B29" s="35"/>
      <c r="C29" s="35"/>
      <c r="D29" s="35"/>
      <c r="E29" s="35"/>
      <c r="F29" s="35"/>
      <c r="G29" s="35"/>
      <c r="H29" s="35"/>
      <c r="I29" s="35"/>
      <c r="J29" s="35"/>
      <c r="K29" s="19"/>
      <c r="L29" s="19"/>
    </row>
    <row r="30" spans="1:12" ht="15.5" x14ac:dyDescent="0.35">
      <c r="A30" s="35" t="s">
        <v>111</v>
      </c>
      <c r="B30" s="35"/>
      <c r="C30" s="35"/>
      <c r="D30" s="35"/>
      <c r="E30" s="35"/>
      <c r="F30" s="35"/>
      <c r="G30" s="35"/>
      <c r="H30" s="35"/>
      <c r="I30" s="35"/>
      <c r="J30" s="35"/>
      <c r="K30" s="19"/>
      <c r="L30" s="19"/>
    </row>
    <row r="31" spans="1:12" ht="15.5" x14ac:dyDescent="0.35">
      <c r="A31" s="39" t="s">
        <v>20</v>
      </c>
      <c r="B31" s="67">
        <f ca="1">NOW()</f>
        <v>44210.420844560183</v>
      </c>
      <c r="C31" s="55"/>
      <c r="D31" s="51"/>
      <c r="E31" s="51"/>
      <c r="F31" s="51"/>
      <c r="G31" s="51"/>
      <c r="H31" s="51"/>
      <c r="I31" s="51"/>
      <c r="J31" s="51"/>
      <c r="K31" s="19"/>
      <c r="L31" s="19"/>
    </row>
    <row r="32" spans="1:12" ht="15.5" x14ac:dyDescent="0.35">
      <c r="A32" s="1"/>
      <c r="B32" s="3"/>
      <c r="C32" s="4"/>
      <c r="D32" s="3"/>
      <c r="E32" s="3"/>
      <c r="F32" s="3"/>
      <c r="G32" s="3"/>
      <c r="H32" s="5"/>
      <c r="I32" s="3"/>
      <c r="J32" s="3"/>
      <c r="K32" s="19"/>
      <c r="L32" s="19"/>
    </row>
    <row r="33" spans="1:12" ht="15.5" x14ac:dyDescent="0.35">
      <c r="A33" s="1"/>
      <c r="B33" s="3"/>
      <c r="C33" s="3"/>
      <c r="D33" s="3"/>
      <c r="E33" s="3"/>
      <c r="F33" s="3"/>
      <c r="G33" s="3"/>
      <c r="H33" s="3"/>
      <c r="I33" s="3"/>
      <c r="J33" s="3"/>
      <c r="K33" s="19"/>
      <c r="L33" s="19"/>
    </row>
    <row r="34" spans="1:12" ht="15.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9"/>
      <c r="L34" s="19"/>
    </row>
    <row r="35" spans="1:12" ht="15.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9"/>
      <c r="L35" s="19"/>
    </row>
    <row r="36" spans="1:12" ht="15.5" x14ac:dyDescent="0.35">
      <c r="K36" s="19"/>
      <c r="L36" s="19"/>
    </row>
    <row r="37" spans="1:12" ht="15.5" x14ac:dyDescent="0.35">
      <c r="K37" s="19"/>
      <c r="L37" s="19"/>
    </row>
  </sheetData>
  <mergeCells count="3">
    <mergeCell ref="G2:I2"/>
    <mergeCell ref="B5:J5"/>
    <mergeCell ref="B2:E2"/>
  </mergeCells>
  <phoneticPr fontId="3" type="noConversion"/>
  <pageMargins left="0.75" right="0.75" top="1" bottom="1" header="0.5" footer="0.5"/>
  <pageSetup scale="9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M32"/>
  <sheetViews>
    <sheetView showGridLines="0" topLeftCell="D1" zoomScaleNormal="100" workbookViewId="0"/>
  </sheetViews>
  <sheetFormatPr defaultRowHeight="12.5" x14ac:dyDescent="0.25"/>
  <cols>
    <col min="1" max="1" width="14.54296875" customWidth="1"/>
    <col min="2" max="2" width="11.7265625" customWidth="1"/>
    <col min="3" max="3" width="10.7265625" customWidth="1"/>
    <col min="4" max="4" width="9.54296875" bestFit="1" customWidth="1"/>
    <col min="5" max="5" width="11.26953125" bestFit="1" customWidth="1"/>
    <col min="6" max="6" width="3.7265625" customWidth="1"/>
    <col min="7" max="7" width="10.7265625" bestFit="1" customWidth="1"/>
    <col min="8" max="8" width="10.7265625" customWidth="1"/>
    <col min="9" max="9" width="12.7265625" customWidth="1"/>
    <col min="10" max="10" width="9.7265625" customWidth="1"/>
    <col min="11" max="11" width="10.7265625" customWidth="1"/>
    <col min="12" max="12" width="10.1796875" bestFit="1" customWidth="1"/>
    <col min="14" max="14" width="9.26953125" bestFit="1" customWidth="1"/>
  </cols>
  <sheetData>
    <row r="1" spans="1:13" ht="14" x14ac:dyDescent="0.3">
      <c r="A1" s="34" t="s">
        <v>148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3" ht="14" x14ac:dyDescent="0.3">
      <c r="A2" s="35"/>
      <c r="B2" s="167" t="s">
        <v>0</v>
      </c>
      <c r="C2" s="167"/>
      <c r="D2" s="167"/>
      <c r="E2" s="167"/>
      <c r="F2" s="38"/>
      <c r="G2" s="167" t="s">
        <v>19</v>
      </c>
      <c r="H2" s="167"/>
      <c r="I2" s="167"/>
      <c r="J2" s="36"/>
      <c r="K2" s="36"/>
      <c r="L2" s="35"/>
    </row>
    <row r="3" spans="1:13" ht="14" x14ac:dyDescent="0.3">
      <c r="A3" s="35" t="s">
        <v>74</v>
      </c>
      <c r="B3" s="37" t="s">
        <v>30</v>
      </c>
      <c r="C3" s="76" t="s">
        <v>1</v>
      </c>
      <c r="D3" s="76" t="s">
        <v>31</v>
      </c>
      <c r="E3" s="76" t="s">
        <v>26</v>
      </c>
      <c r="F3" s="76"/>
      <c r="G3" s="36" t="s">
        <v>29</v>
      </c>
      <c r="H3" s="36"/>
      <c r="I3" s="36"/>
      <c r="J3" s="76" t="s">
        <v>33</v>
      </c>
      <c r="K3" s="76" t="s">
        <v>26</v>
      </c>
      <c r="L3" s="76" t="s">
        <v>28</v>
      </c>
    </row>
    <row r="4" spans="1:13" ht="14" x14ac:dyDescent="0.3">
      <c r="A4" s="40" t="s">
        <v>75</v>
      </c>
      <c r="B4" s="42" t="s">
        <v>27</v>
      </c>
      <c r="C4" s="43"/>
      <c r="D4" s="43"/>
      <c r="E4" s="43"/>
      <c r="F4" s="43"/>
      <c r="G4" s="42" t="s">
        <v>3</v>
      </c>
      <c r="H4" s="42" t="s">
        <v>86</v>
      </c>
      <c r="I4" s="42" t="s">
        <v>107</v>
      </c>
      <c r="J4" s="43"/>
      <c r="K4" s="43"/>
      <c r="L4" s="76" t="s">
        <v>85</v>
      </c>
    </row>
    <row r="5" spans="1:13" ht="14.5" x14ac:dyDescent="0.35">
      <c r="A5" s="35"/>
      <c r="B5" s="169" t="s">
        <v>98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</row>
    <row r="6" spans="1:13" ht="14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3" ht="16.5" x14ac:dyDescent="0.3">
      <c r="A7" s="35" t="s">
        <v>140</v>
      </c>
      <c r="B7" s="70">
        <v>1995.434</v>
      </c>
      <c r="C7" s="70">
        <v>24197.199000000004</v>
      </c>
      <c r="D7" s="70">
        <v>397.26178192360805</v>
      </c>
      <c r="E7" s="70">
        <f t="shared" ref="E7:E8" si="0">SUM(B7:D7)</f>
        <v>26589.894781923613</v>
      </c>
      <c r="F7" s="70"/>
      <c r="G7" s="70">
        <f t="shared" ref="G7:G8" si="1">K7-J7</f>
        <v>22873.228761820905</v>
      </c>
      <c r="H7" s="49">
        <v>7863.3000000000011</v>
      </c>
      <c r="I7" s="49">
        <f t="shared" ref="I7:I8" si="2">G7-H7</f>
        <v>15009.928761820904</v>
      </c>
      <c r="J7" s="70">
        <v>1941.35002010271</v>
      </c>
      <c r="K7" s="70">
        <f t="shared" ref="K7:K8" si="3">E7-L7</f>
        <v>24814.578781923614</v>
      </c>
      <c r="L7" s="70">
        <v>1775.316</v>
      </c>
      <c r="M7" s="17"/>
    </row>
    <row r="8" spans="1:13" ht="16.5" x14ac:dyDescent="0.3">
      <c r="A8" s="35" t="s">
        <v>144</v>
      </c>
      <c r="B8" s="70">
        <f>L7</f>
        <v>1775.316</v>
      </c>
      <c r="C8" s="70">
        <f>C24</f>
        <v>24911.604000000003</v>
      </c>
      <c r="D8" s="70">
        <f>D24</f>
        <v>319.33808794654203</v>
      </c>
      <c r="E8" s="70">
        <f t="shared" si="0"/>
        <v>27006.258087946542</v>
      </c>
      <c r="F8" s="70"/>
      <c r="G8" s="70">
        <f t="shared" si="1"/>
        <v>22318.872644261639</v>
      </c>
      <c r="H8" s="49">
        <f>H24</f>
        <v>7857.82</v>
      </c>
      <c r="I8" s="49">
        <f t="shared" si="2"/>
        <v>14461.052644261639</v>
      </c>
      <c r="J8" s="70">
        <f>J24</f>
        <v>2838.855443684904</v>
      </c>
      <c r="K8" s="70">
        <f t="shared" si="3"/>
        <v>25157.728087946543</v>
      </c>
      <c r="L8" s="70">
        <f>L23</f>
        <v>1848.53</v>
      </c>
      <c r="M8" s="17"/>
    </row>
    <row r="9" spans="1:13" ht="16.5" x14ac:dyDescent="0.3">
      <c r="A9" s="35" t="s">
        <v>156</v>
      </c>
      <c r="B9" s="70">
        <f>L8</f>
        <v>1848.53</v>
      </c>
      <c r="C9" s="70">
        <v>25565</v>
      </c>
      <c r="D9" s="70">
        <v>350</v>
      </c>
      <c r="E9" s="70">
        <f t="shared" ref="E9" si="4">SUM(B9:D9)</f>
        <v>27763.53</v>
      </c>
      <c r="F9" s="70"/>
      <c r="G9" s="70">
        <f t="shared" ref="G9" si="5">K9-J9</f>
        <v>23199.53</v>
      </c>
      <c r="H9" s="49">
        <v>8200</v>
      </c>
      <c r="I9" s="49">
        <f t="shared" ref="I9" si="6">G9-H9</f>
        <v>14999.529999999999</v>
      </c>
      <c r="J9" s="70">
        <v>2750</v>
      </c>
      <c r="K9" s="70">
        <f t="shared" ref="K9" si="7">E9-L9</f>
        <v>25949.53</v>
      </c>
      <c r="L9" s="70">
        <f>1814</f>
        <v>1814</v>
      </c>
      <c r="M9" s="17"/>
    </row>
    <row r="10" spans="1:13" ht="14" x14ac:dyDescent="0.3">
      <c r="A10" s="35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17"/>
    </row>
    <row r="11" spans="1:13" ht="14" x14ac:dyDescent="0.3">
      <c r="A11" s="35" t="s">
        <v>145</v>
      </c>
      <c r="B11" s="143"/>
      <c r="C11" s="56"/>
      <c r="D11" s="56"/>
      <c r="E11" s="56"/>
      <c r="F11" s="71"/>
      <c r="G11" s="56"/>
      <c r="H11" s="56"/>
      <c r="I11" s="56"/>
      <c r="J11" s="56"/>
      <c r="K11" s="56"/>
      <c r="L11" s="71"/>
    </row>
    <row r="12" spans="1:13" ht="14" x14ac:dyDescent="0.3">
      <c r="A12" s="38" t="s">
        <v>50</v>
      </c>
      <c r="B12" s="71">
        <f>1400.569+374.747</f>
        <v>1775.316</v>
      </c>
      <c r="C12" s="56">
        <v>2149.9690000000001</v>
      </c>
      <c r="D12" s="71">
        <f>(0.907155+0+12.884502+0.018812)*2.204622</f>
        <v>30.446863787718002</v>
      </c>
      <c r="E12" s="56">
        <f t="shared" ref="E12:E19" si="8">SUM(B12:D12)</f>
        <v>3955.7318637877179</v>
      </c>
      <c r="F12" s="71"/>
      <c r="G12" s="71">
        <f t="shared" ref="G12:G23" si="9">K12-J12</f>
        <v>1882.0904430526298</v>
      </c>
      <c r="H12" s="56">
        <v>557.52</v>
      </c>
      <c r="I12" s="56">
        <f t="shared" ref="I12:I23" si="10">G12-H12</f>
        <v>1324.5704430526298</v>
      </c>
      <c r="J12" s="56">
        <f>(101.953963+0.105555+12.281521+0.274265)*2.204622</f>
        <v>252.68342073508799</v>
      </c>
      <c r="K12" s="56">
        <f t="shared" ref="K12:K23" si="11">E12-L12</f>
        <v>2134.7738637877178</v>
      </c>
      <c r="L12" s="71">
        <f>1471.929+349.029</f>
        <v>1820.9580000000001</v>
      </c>
      <c r="M12" s="147"/>
    </row>
    <row r="13" spans="1:13" ht="14" x14ac:dyDescent="0.3">
      <c r="A13" s="38" t="s">
        <v>51</v>
      </c>
      <c r="B13" s="71">
        <f t="shared" ref="B13:B23" si="12">L12</f>
        <v>1820.9580000000001</v>
      </c>
      <c r="C13" s="56">
        <v>1999.6479999999999</v>
      </c>
      <c r="D13" s="71">
        <f>(0.913381+0.102526+10.043143+0.035035)*2.204622</f>
        <v>24.458263860870005</v>
      </c>
      <c r="E13" s="56">
        <f t="shared" si="8"/>
        <v>3845.0642638608697</v>
      </c>
      <c r="F13" s="71"/>
      <c r="G13" s="71">
        <f t="shared" si="9"/>
        <v>1706.9694769206637</v>
      </c>
      <c r="H13" s="56">
        <v>526.53</v>
      </c>
      <c r="I13" s="56">
        <f t="shared" si="10"/>
        <v>1180.4394769206638</v>
      </c>
      <c r="J13" s="56">
        <f>(98.252267+0.168085+18.257272+0.229849)*2.204622</f>
        <v>257.73678694020606</v>
      </c>
      <c r="K13" s="56">
        <f t="shared" si="11"/>
        <v>1964.7062638608697</v>
      </c>
      <c r="L13" s="71">
        <f>1522.923+357.435</f>
        <v>1880.3579999999999</v>
      </c>
      <c r="M13" s="147"/>
    </row>
    <row r="14" spans="1:13" ht="14" x14ac:dyDescent="0.3">
      <c r="A14" s="38" t="s">
        <v>52</v>
      </c>
      <c r="B14" s="71">
        <f t="shared" si="12"/>
        <v>1880.3579999999999</v>
      </c>
      <c r="C14" s="56">
        <v>2110.9360000000001</v>
      </c>
      <c r="D14" s="71">
        <f>(1.517194+0.111025+14.403726+0)*2.204622</f>
        <v>35.344378649790002</v>
      </c>
      <c r="E14" s="56">
        <f t="shared" si="8"/>
        <v>4026.63837864979</v>
      </c>
      <c r="F14" s="71"/>
      <c r="G14" s="71">
        <f t="shared" si="9"/>
        <v>1708.2900719668521</v>
      </c>
      <c r="H14" s="56">
        <v>541.04999999999995</v>
      </c>
      <c r="I14" s="56">
        <f t="shared" si="10"/>
        <v>1167.2400719668522</v>
      </c>
      <c r="J14" s="56">
        <f>(63.337525+0.026618+20.056471+0.169365)*2.204622</f>
        <v>184.28430668293799</v>
      </c>
      <c r="K14" s="56">
        <f t="shared" si="11"/>
        <v>1892.5743786497901</v>
      </c>
      <c r="L14" s="71">
        <f>1749.423+384.641</f>
        <v>2134.0639999999999</v>
      </c>
      <c r="M14" s="147"/>
    </row>
    <row r="15" spans="1:13" ht="14" x14ac:dyDescent="0.3">
      <c r="A15" s="38" t="s">
        <v>53</v>
      </c>
      <c r="B15" s="71">
        <f t="shared" si="12"/>
        <v>2134.0639999999999</v>
      </c>
      <c r="C15" s="56">
        <v>2154.4270000000001</v>
      </c>
      <c r="D15" s="71">
        <f>(2.126531+0.443575+12.214776+0)*2.204622</f>
        <v>32.595076124603999</v>
      </c>
      <c r="E15" s="56">
        <f t="shared" si="8"/>
        <v>4321.086076124604</v>
      </c>
      <c r="F15" s="71"/>
      <c r="G15" s="71">
        <f t="shared" si="9"/>
        <v>1844.199548509308</v>
      </c>
      <c r="H15" s="56">
        <v>521</v>
      </c>
      <c r="I15" s="56">
        <f t="shared" si="10"/>
        <v>1323.199548509308</v>
      </c>
      <c r="J15" s="56">
        <f>(44.792336+0.117811+11.595679+0.239742)*2.204622</f>
        <v>125.102527615296</v>
      </c>
      <c r="K15" s="56">
        <f t="shared" si="11"/>
        <v>1969.3020761246039</v>
      </c>
      <c r="L15" s="71">
        <f>1989.164+362.62</f>
        <v>2351.7840000000001</v>
      </c>
      <c r="M15" s="147"/>
    </row>
    <row r="16" spans="1:13" ht="14" x14ac:dyDescent="0.3">
      <c r="A16" s="38" t="s">
        <v>54</v>
      </c>
      <c r="B16" s="71">
        <f t="shared" si="12"/>
        <v>2351.7840000000001</v>
      </c>
      <c r="C16" s="56">
        <v>1999.5239999999999</v>
      </c>
      <c r="D16" s="71">
        <f>(2.359956+0.08919+10.275538+0)*2.204622</f>
        <v>28.053118289448001</v>
      </c>
      <c r="E16" s="56">
        <f t="shared" si="8"/>
        <v>4379.3611182894483</v>
      </c>
      <c r="F16" s="71"/>
      <c r="G16" s="71">
        <f t="shared" si="9"/>
        <v>1605.6683977361104</v>
      </c>
      <c r="H16" s="56">
        <v>574.78</v>
      </c>
      <c r="I16" s="56">
        <f t="shared" si="10"/>
        <v>1030.8883977361104</v>
      </c>
      <c r="J16" s="56">
        <f>(163.046872+0.108209+16.27962+0.298478)*2.204622</f>
        <v>396.24372055333799</v>
      </c>
      <c r="K16" s="56">
        <f t="shared" si="11"/>
        <v>2001.9121182894482</v>
      </c>
      <c r="L16" s="71">
        <f>1996.747+380.702</f>
        <v>2377.4490000000001</v>
      </c>
      <c r="M16" s="147"/>
    </row>
    <row r="17" spans="1:13" ht="14" x14ac:dyDescent="0.3">
      <c r="A17" s="38" t="s">
        <v>55</v>
      </c>
      <c r="B17" s="71">
        <f t="shared" si="12"/>
        <v>2377.4490000000001</v>
      </c>
      <c r="C17" s="56">
        <v>2201.0680000000002</v>
      </c>
      <c r="D17" s="71">
        <f>(1.501862+0.001651+9.293142+0)*2.204622</f>
        <v>23.802543139409998</v>
      </c>
      <c r="E17" s="56">
        <f t="shared" si="8"/>
        <v>4602.3195431394097</v>
      </c>
      <c r="F17" s="71"/>
      <c r="G17" s="71">
        <f t="shared" si="9"/>
        <v>1953.9599288879958</v>
      </c>
      <c r="H17" s="56">
        <v>656.02</v>
      </c>
      <c r="I17" s="56">
        <f t="shared" si="10"/>
        <v>1297.9399288879958</v>
      </c>
      <c r="J17" s="56">
        <f>(130.361496+0.283982+14.394011+0.458748)*2.204622</f>
        <v>320.76861425141408</v>
      </c>
      <c r="K17" s="56">
        <f t="shared" si="11"/>
        <v>2274.7285431394098</v>
      </c>
      <c r="L17" s="71">
        <f>1933.648+393.943</f>
        <v>2327.5909999999999</v>
      </c>
      <c r="M17" s="147"/>
    </row>
    <row r="18" spans="1:13" ht="14" x14ac:dyDescent="0.3">
      <c r="A18" s="38" t="s">
        <v>56</v>
      </c>
      <c r="B18" s="71">
        <f t="shared" si="12"/>
        <v>2327.5909999999999</v>
      </c>
      <c r="C18" s="56">
        <v>2099.4650000000001</v>
      </c>
      <c r="D18" s="71">
        <f>(5.945476+0+5.110422+0)*2.204622</f>
        <v>24.374075960555999</v>
      </c>
      <c r="E18" s="56">
        <f t="shared" si="8"/>
        <v>4451.4300759605567</v>
      </c>
      <c r="F18" s="71"/>
      <c r="G18" s="71">
        <f t="shared" si="9"/>
        <v>1619.2606368912866</v>
      </c>
      <c r="H18" s="56">
        <v>671.81</v>
      </c>
      <c r="I18" s="56">
        <f t="shared" si="10"/>
        <v>947.45063689128665</v>
      </c>
      <c r="J18" s="56">
        <f>(87.695281+3.66505+12.806232+0.249722)*2.204622</f>
        <v>230.19843906926999</v>
      </c>
      <c r="K18" s="56">
        <f t="shared" si="11"/>
        <v>1849.4590759605567</v>
      </c>
      <c r="L18" s="71">
        <f>2224.007+377.964</f>
        <v>2601.971</v>
      </c>
      <c r="M18" s="147"/>
    </row>
    <row r="19" spans="1:13" ht="14" x14ac:dyDescent="0.3">
      <c r="A19" s="38" t="s">
        <v>57</v>
      </c>
      <c r="B19" s="71">
        <f t="shared" si="12"/>
        <v>2601.971</v>
      </c>
      <c r="C19" s="56">
        <v>2057.6170000000002</v>
      </c>
      <c r="D19" s="71">
        <f>(3.133764+0+7.887634+0)*2.204622</f>
        <v>24.298016501556003</v>
      </c>
      <c r="E19" s="56">
        <f t="shared" si="8"/>
        <v>4683.8860165015558</v>
      </c>
      <c r="F19" s="71"/>
      <c r="G19" s="71">
        <f t="shared" si="9"/>
        <v>1878.8671831303036</v>
      </c>
      <c r="H19" s="56">
        <v>805.35</v>
      </c>
      <c r="I19" s="56">
        <f t="shared" si="10"/>
        <v>1073.5171831303037</v>
      </c>
      <c r="J19" s="56">
        <f>(146.2828+1.013597+14.669532+0.316237)*2.204622</f>
        <v>357.77083337125202</v>
      </c>
      <c r="K19" s="56">
        <f t="shared" si="11"/>
        <v>2236.6380165015557</v>
      </c>
      <c r="L19" s="71">
        <f>2048.992+398.256</f>
        <v>2447.248</v>
      </c>
      <c r="M19" s="71"/>
    </row>
    <row r="20" spans="1:13" ht="14" x14ac:dyDescent="0.3">
      <c r="A20" s="38" t="s">
        <v>58</v>
      </c>
      <c r="B20" s="71">
        <f t="shared" si="12"/>
        <v>2447.248</v>
      </c>
      <c r="C20" s="56">
        <v>2035.269</v>
      </c>
      <c r="D20" s="71">
        <f>(2.511371+0+8.915069+0)*2.204622</f>
        <v>25.190981005680005</v>
      </c>
      <c r="E20" s="56">
        <f t="shared" ref="E20" si="13">SUM(B20:D20)</f>
        <v>4507.7079810056803</v>
      </c>
      <c r="F20" s="71"/>
      <c r="G20" s="71">
        <f t="shared" si="9"/>
        <v>2069.3751779943923</v>
      </c>
      <c r="H20" s="56">
        <v>747.07</v>
      </c>
      <c r="I20" s="56">
        <f t="shared" si="10"/>
        <v>1322.3051779943921</v>
      </c>
      <c r="J20" s="56">
        <f>(64.082208+0.046033+11.538218+0.385945)*2.204622</f>
        <v>167.66680301128801</v>
      </c>
      <c r="K20" s="56">
        <f t="shared" si="11"/>
        <v>2237.0419810056801</v>
      </c>
      <c r="L20" s="71">
        <f>1925.583+345.083</f>
        <v>2270.6660000000002</v>
      </c>
      <c r="M20" s="147"/>
    </row>
    <row r="21" spans="1:13" ht="14" x14ac:dyDescent="0.3">
      <c r="A21" s="38" t="s">
        <v>60</v>
      </c>
      <c r="B21" s="71">
        <f t="shared" si="12"/>
        <v>2270.6660000000002</v>
      </c>
      <c r="C21" s="56">
        <v>2123.2370000000001</v>
      </c>
      <c r="D21" s="71">
        <f>(1.437321+0+11.120338+0)*2.204622</f>
        <v>27.684891299898002</v>
      </c>
      <c r="E21" s="56">
        <f t="shared" ref="E21:E22" si="14">SUM(B21:D21)</f>
        <v>4421.5878912998978</v>
      </c>
      <c r="F21" s="71"/>
      <c r="G21" s="71">
        <f t="shared" si="9"/>
        <v>2133.8783126502199</v>
      </c>
      <c r="H21" s="56">
        <v>774.83</v>
      </c>
      <c r="I21" s="56">
        <f t="shared" si="10"/>
        <v>1359.0483126502199</v>
      </c>
      <c r="J21" s="56">
        <f>(64.323622+0.065902+10.076311+0.209814)*2.204622</f>
        <v>164.63157864967798</v>
      </c>
      <c r="K21" s="56">
        <f t="shared" si="11"/>
        <v>2298.5098912998978</v>
      </c>
      <c r="L21" s="71">
        <f>1776.314+346.764</f>
        <v>2123.078</v>
      </c>
      <c r="M21" s="147"/>
    </row>
    <row r="22" spans="1:13" ht="14" x14ac:dyDescent="0.3">
      <c r="A22" s="38" t="s">
        <v>61</v>
      </c>
      <c r="B22" s="71">
        <f t="shared" si="12"/>
        <v>2123.078</v>
      </c>
      <c r="C22" s="56">
        <v>2012.8230000000001</v>
      </c>
      <c r="D22" s="71">
        <f>(0.780729+0.049783+9.307564+0)*2.204622</f>
        <v>22.350625387272</v>
      </c>
      <c r="E22" s="56">
        <f t="shared" si="14"/>
        <v>4158.2516253872718</v>
      </c>
      <c r="F22" s="71"/>
      <c r="G22" s="71">
        <f t="shared" si="9"/>
        <v>2014.6131086572618</v>
      </c>
      <c r="H22" s="56">
        <v>745.33</v>
      </c>
      <c r="I22" s="56">
        <f t="shared" si="10"/>
        <v>1269.2831086572619</v>
      </c>
      <c r="J22" s="56">
        <f>(76.647872+0.035441+14.584342+0.2113)*2.204622</f>
        <v>201.67651673001004</v>
      </c>
      <c r="K22" s="56">
        <f t="shared" si="11"/>
        <v>2216.2896253872718</v>
      </c>
      <c r="L22" s="71">
        <f>1572.483+369.479</f>
        <v>1941.962</v>
      </c>
      <c r="M22" s="147"/>
    </row>
    <row r="23" spans="1:13" ht="14" x14ac:dyDescent="0.3">
      <c r="A23" s="38" t="s">
        <v>63</v>
      </c>
      <c r="B23" s="71">
        <f t="shared" si="12"/>
        <v>1941.962</v>
      </c>
      <c r="C23" s="56">
        <v>1967.6210000000001</v>
      </c>
      <c r="D23" s="71">
        <f>(1.370358+0+8.036812+0)*2.204622</f>
        <v>20.739253939739999</v>
      </c>
      <c r="E23" s="56">
        <f t="shared" ref="E23" si="15">SUM(B23:D23)</f>
        <v>3930.3222539397402</v>
      </c>
      <c r="F23" s="71"/>
      <c r="G23" s="71">
        <f t="shared" si="9"/>
        <v>1901.7003578646145</v>
      </c>
      <c r="H23" s="56">
        <v>736.53</v>
      </c>
      <c r="I23" s="56">
        <f t="shared" si="10"/>
        <v>1165.1703578646145</v>
      </c>
      <c r="J23" s="56">
        <f>(68.72055+0.115908+12.442878+0.408997)*2.204622</f>
        <v>180.09189607512602</v>
      </c>
      <c r="K23" s="56">
        <f t="shared" si="11"/>
        <v>2081.7922539397405</v>
      </c>
      <c r="L23" s="71">
        <f>1503.344+345.186</f>
        <v>1848.53</v>
      </c>
      <c r="M23" s="147"/>
    </row>
    <row r="24" spans="1:13" ht="14" x14ac:dyDescent="0.3">
      <c r="A24" s="38" t="s">
        <v>3</v>
      </c>
      <c r="B24" s="71"/>
      <c r="C24" s="56">
        <f>SUM(C12:C23)</f>
        <v>24911.604000000003</v>
      </c>
      <c r="D24" s="71">
        <f>SUM(D12:D23)</f>
        <v>319.33808794654203</v>
      </c>
      <c r="E24" s="56">
        <f>B12+C24+D24</f>
        <v>27006.258087946542</v>
      </c>
      <c r="F24" s="71"/>
      <c r="G24" s="71">
        <f t="shared" ref="G24:K24" si="16">SUM(G12:G23)</f>
        <v>22318.872644261639</v>
      </c>
      <c r="H24" s="56">
        <f t="shared" si="16"/>
        <v>7857.82</v>
      </c>
      <c r="I24" s="56">
        <f t="shared" si="16"/>
        <v>14461.052644261639</v>
      </c>
      <c r="J24" s="56">
        <f t="shared" si="16"/>
        <v>2838.855443684904</v>
      </c>
      <c r="K24" s="56">
        <f t="shared" si="16"/>
        <v>25157.728087946543</v>
      </c>
      <c r="L24" s="71"/>
      <c r="M24" s="147"/>
    </row>
    <row r="25" spans="1:13" ht="14" x14ac:dyDescent="0.3">
      <c r="A25" s="38"/>
      <c r="B25" s="143"/>
      <c r="C25" s="56"/>
      <c r="D25" s="56"/>
      <c r="E25" s="56"/>
      <c r="F25" s="71"/>
      <c r="G25" s="56"/>
      <c r="H25" s="56"/>
      <c r="I25" s="56"/>
      <c r="J25" s="56"/>
      <c r="K25" s="56"/>
      <c r="L25" s="71"/>
    </row>
    <row r="26" spans="1:13" ht="14" x14ac:dyDescent="0.3">
      <c r="A26" s="35" t="s">
        <v>168</v>
      </c>
      <c r="B26" s="143"/>
      <c r="C26" s="56"/>
      <c r="D26" s="56"/>
      <c r="E26" s="56"/>
      <c r="F26" s="71"/>
      <c r="G26" s="56"/>
      <c r="H26" s="56"/>
      <c r="I26" s="56"/>
      <c r="J26" s="56"/>
      <c r="K26" s="56"/>
      <c r="L26" s="71"/>
    </row>
    <row r="27" spans="1:13" ht="14" x14ac:dyDescent="0.3">
      <c r="A27" s="38" t="s">
        <v>50</v>
      </c>
      <c r="B27" s="71">
        <f>L23</f>
        <v>1848.53</v>
      </c>
      <c r="C27" s="56">
        <v>2282.471</v>
      </c>
      <c r="D27" s="71">
        <f>(1.015586+0.000563+8.263561+0)*2.204622</f>
        <v>20.45825281962</v>
      </c>
      <c r="E27" s="56">
        <f t="shared" ref="E27" si="17">SUM(B27:D27)</f>
        <v>4151.4592528196199</v>
      </c>
      <c r="F27" s="71"/>
      <c r="G27" s="71">
        <f t="shared" ref="G27" si="18">K27-J27</f>
        <v>2003.5441440301299</v>
      </c>
      <c r="H27" s="56">
        <v>723</v>
      </c>
      <c r="I27" s="56">
        <f t="shared" ref="I27" si="19">G27-H27</f>
        <v>1280.5441440301299</v>
      </c>
      <c r="J27" s="56">
        <f>(63.536922+0.093835+19.218456+0.634082)*2.204622</f>
        <v>184.04910878948999</v>
      </c>
      <c r="K27" s="56">
        <f t="shared" ref="K27" si="20">E27-L27</f>
        <v>2187.5932528196199</v>
      </c>
      <c r="L27" s="71">
        <f>1564.319+399.547</f>
        <v>1963.866</v>
      </c>
      <c r="M27" s="147"/>
    </row>
    <row r="28" spans="1:13" ht="14" x14ac:dyDescent="0.3">
      <c r="A28" s="38" t="s">
        <v>51</v>
      </c>
      <c r="B28" s="71">
        <f>L27</f>
        <v>1963.866</v>
      </c>
      <c r="C28" s="56">
        <v>2206.7919999999999</v>
      </c>
      <c r="D28" s="71">
        <f>(1.296231+0+8.287878+0)*2.204622</f>
        <v>21.129337551797999</v>
      </c>
      <c r="E28" s="56">
        <f t="shared" ref="E28" si="21">SUM(B28:D28)</f>
        <v>4191.7873375517975</v>
      </c>
      <c r="F28" s="71"/>
      <c r="G28" s="71">
        <f t="shared" ref="G28" si="22">K28-J28</f>
        <v>1896.8493977333474</v>
      </c>
      <c r="H28" s="56" t="s">
        <v>10</v>
      </c>
      <c r="I28" s="56" t="s">
        <v>10</v>
      </c>
      <c r="J28" s="56">
        <f>(64.90939+0.033439+14.406644+1.047502)*2.204622</f>
        <v>177.24493981845001</v>
      </c>
      <c r="K28" s="56">
        <f t="shared" ref="K28" si="23">E28-L28</f>
        <v>2074.0943375517973</v>
      </c>
      <c r="L28" s="71">
        <f>1685.131+432.562</f>
        <v>2117.6930000000002</v>
      </c>
      <c r="M28" s="147"/>
    </row>
    <row r="29" spans="1:13" ht="14" x14ac:dyDescent="0.3">
      <c r="A29" s="34" t="s">
        <v>169</v>
      </c>
      <c r="B29" s="77"/>
      <c r="C29" s="62">
        <f>SUM(C27:C28)</f>
        <v>4489.2629999999999</v>
      </c>
      <c r="D29" s="77">
        <f>SUM(D27:D28)</f>
        <v>41.587590371418003</v>
      </c>
      <c r="E29" s="62">
        <f>B27+C29+D29</f>
        <v>6379.3805903714174</v>
      </c>
      <c r="F29" s="77"/>
      <c r="G29" s="77">
        <f t="shared" ref="G29:K29" si="24">SUM(G27:G28)</f>
        <v>3900.3935417634775</v>
      </c>
      <c r="H29" s="62">
        <f t="shared" si="24"/>
        <v>723</v>
      </c>
      <c r="I29" s="62">
        <f t="shared" si="24"/>
        <v>1280.5441440301299</v>
      </c>
      <c r="J29" s="62">
        <f t="shared" si="24"/>
        <v>361.29404860794</v>
      </c>
      <c r="K29" s="77">
        <f t="shared" si="24"/>
        <v>4261.6875903714172</v>
      </c>
      <c r="L29" s="77"/>
    </row>
    <row r="30" spans="1:13" ht="16.5" x14ac:dyDescent="0.3">
      <c r="A30" s="75" t="s">
        <v>155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1:13" ht="14.5" x14ac:dyDescent="0.35">
      <c r="A31" s="35" t="s">
        <v>111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13" ht="14" x14ac:dyDescent="0.3">
      <c r="A32" s="39" t="s">
        <v>20</v>
      </c>
      <c r="B32" s="67">
        <f ca="1">NOW()</f>
        <v>44210.420844560183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</row>
  </sheetData>
  <mergeCells count="3">
    <mergeCell ref="B5:L5"/>
    <mergeCell ref="G2:I2"/>
    <mergeCell ref="B2:E2"/>
  </mergeCells>
  <phoneticPr fontId="3" type="noConversion"/>
  <pageMargins left="0.75" right="0.75" top="1" bottom="1" header="0.5" footer="0.5"/>
  <pageSetup scale="67" orientation="portrait" r:id="rId1"/>
  <headerFooter alignWithMargins="0"/>
  <ignoredErrors>
    <ignoredError sqref="I7:I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57"/>
  <sheetViews>
    <sheetView showGridLines="0" zoomScaleNormal="100" workbookViewId="0"/>
  </sheetViews>
  <sheetFormatPr defaultRowHeight="12.5" x14ac:dyDescent="0.25"/>
  <cols>
    <col min="1" max="1" width="14.7265625" customWidth="1"/>
    <col min="2" max="2" width="12.6328125" customWidth="1"/>
    <col min="3" max="3" width="10.26953125" customWidth="1"/>
    <col min="4" max="4" width="12.26953125" customWidth="1"/>
    <col min="5" max="5" width="10.7265625" customWidth="1"/>
    <col min="6" max="6" width="10.54296875" customWidth="1"/>
    <col min="7" max="7" width="11.7265625" customWidth="1"/>
    <col min="8" max="8" width="8.7265625" customWidth="1"/>
    <col min="9" max="9" width="9.7265625" customWidth="1"/>
    <col min="10" max="11" width="7.7265625" customWidth="1"/>
    <col min="12" max="12" width="8.54296875" customWidth="1"/>
    <col min="13" max="13" width="9.54296875" customWidth="1"/>
    <col min="14" max="15" width="7.54296875" customWidth="1"/>
  </cols>
  <sheetData>
    <row r="1" spans="1:15" ht="14" x14ac:dyDescent="0.3">
      <c r="A1" s="34" t="s">
        <v>149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  <c r="M1" s="35"/>
      <c r="N1" s="35"/>
      <c r="O1" s="35"/>
    </row>
    <row r="2" spans="1:15" ht="14" x14ac:dyDescent="0.3">
      <c r="A2" s="35"/>
      <c r="B2" s="167" t="s">
        <v>0</v>
      </c>
      <c r="C2" s="167"/>
      <c r="D2" s="167"/>
      <c r="E2" s="167"/>
      <c r="F2" s="78"/>
      <c r="G2" s="167" t="s">
        <v>19</v>
      </c>
      <c r="H2" s="167"/>
      <c r="I2" s="167"/>
      <c r="J2" s="167"/>
      <c r="K2" s="78"/>
      <c r="L2" s="35"/>
      <c r="M2" s="35"/>
      <c r="N2" s="35"/>
      <c r="O2" s="35"/>
    </row>
    <row r="3" spans="1:15" ht="14" x14ac:dyDescent="0.3">
      <c r="A3" s="35" t="s">
        <v>74</v>
      </c>
      <c r="B3" s="39" t="s">
        <v>30</v>
      </c>
      <c r="C3" s="39"/>
      <c r="D3" s="39"/>
      <c r="E3" s="39"/>
      <c r="F3" s="79"/>
      <c r="G3" s="39"/>
      <c r="H3" s="39"/>
      <c r="I3" s="39"/>
      <c r="J3" s="39"/>
      <c r="K3" s="37" t="s">
        <v>28</v>
      </c>
      <c r="L3" s="35"/>
      <c r="M3" s="35"/>
      <c r="N3" s="35"/>
      <c r="O3" s="35"/>
    </row>
    <row r="4" spans="1:15" ht="14" x14ac:dyDescent="0.3">
      <c r="A4" s="40" t="s">
        <v>76</v>
      </c>
      <c r="B4" s="42" t="s">
        <v>47</v>
      </c>
      <c r="C4" s="80" t="s">
        <v>1</v>
      </c>
      <c r="D4" s="44" t="s">
        <v>31</v>
      </c>
      <c r="E4" s="42" t="s">
        <v>84</v>
      </c>
      <c r="F4" s="43"/>
      <c r="G4" s="42" t="s">
        <v>34</v>
      </c>
      <c r="H4" s="42" t="s">
        <v>4</v>
      </c>
      <c r="I4" s="42" t="s">
        <v>35</v>
      </c>
      <c r="J4" s="42" t="s">
        <v>32</v>
      </c>
      <c r="K4" s="42" t="s">
        <v>27</v>
      </c>
      <c r="L4" s="35"/>
      <c r="M4" s="35"/>
      <c r="N4" s="35"/>
      <c r="O4" s="35"/>
    </row>
    <row r="5" spans="1:15" ht="14.5" x14ac:dyDescent="0.35">
      <c r="A5" s="35"/>
      <c r="B5" s="168" t="s">
        <v>14</v>
      </c>
      <c r="C5" s="168"/>
      <c r="D5" s="168"/>
      <c r="E5" s="168"/>
      <c r="F5" s="168"/>
      <c r="G5" s="168"/>
      <c r="H5" s="168"/>
      <c r="I5" s="168"/>
      <c r="J5" s="168"/>
      <c r="K5" s="168"/>
      <c r="L5" s="35"/>
      <c r="M5" s="35"/>
      <c r="N5" s="35"/>
      <c r="O5" s="35"/>
    </row>
    <row r="6" spans="1:15" ht="14" x14ac:dyDescent="0.3">
      <c r="A6" s="35"/>
      <c r="B6" s="35"/>
      <c r="C6" s="35"/>
      <c r="D6" s="35"/>
      <c r="E6" s="35"/>
      <c r="F6" s="35"/>
      <c r="G6" s="76"/>
      <c r="H6" s="81"/>
      <c r="I6" s="76"/>
      <c r="J6" s="76"/>
      <c r="K6" s="35"/>
      <c r="L6" s="35"/>
      <c r="M6" s="35"/>
      <c r="N6" s="35"/>
      <c r="O6" s="35"/>
    </row>
    <row r="7" spans="1:15" ht="16.5" x14ac:dyDescent="0.3">
      <c r="A7" s="35" t="s">
        <v>140</v>
      </c>
      <c r="B7" s="82">
        <v>451</v>
      </c>
      <c r="C7" s="82">
        <v>5631</v>
      </c>
      <c r="D7" s="83">
        <v>0.50413091273999999</v>
      </c>
      <c r="E7" s="82">
        <f>B7+C7+D7</f>
        <v>6082.50413091274</v>
      </c>
      <c r="F7" s="50"/>
      <c r="G7" s="82">
        <v>1760.4089999999999</v>
      </c>
      <c r="H7" s="84">
        <v>387.03680000000003</v>
      </c>
      <c r="I7" s="82">
        <f t="shared" ref="I7:I8" si="0">J7-G7-H7</f>
        <v>3458.0583309127405</v>
      </c>
      <c r="J7" s="82">
        <f t="shared" ref="J7:J8" si="1">E7-K7</f>
        <v>5605.50413091274</v>
      </c>
      <c r="K7" s="82">
        <v>477</v>
      </c>
      <c r="L7" s="35"/>
      <c r="M7" s="35"/>
      <c r="N7" s="35"/>
      <c r="O7" s="35"/>
    </row>
    <row r="8" spans="1:15" ht="16.5" x14ac:dyDescent="0.3">
      <c r="A8" s="35" t="s">
        <v>144</v>
      </c>
      <c r="B8" s="82">
        <f>K7</f>
        <v>477</v>
      </c>
      <c r="C8" s="82">
        <v>5945</v>
      </c>
      <c r="D8" s="83">
        <v>1.0880000000000001</v>
      </c>
      <c r="E8" s="82">
        <f>B8+C8+D8</f>
        <v>6423.0879999999997</v>
      </c>
      <c r="F8" s="50"/>
      <c r="G8" s="82">
        <v>1712.0099999999998</v>
      </c>
      <c r="H8" s="84">
        <v>340.67500000000001</v>
      </c>
      <c r="I8" s="82">
        <f t="shared" si="0"/>
        <v>3914.4029999999993</v>
      </c>
      <c r="J8" s="82">
        <f t="shared" si="1"/>
        <v>5967.0879999999997</v>
      </c>
      <c r="K8" s="82">
        <v>456</v>
      </c>
      <c r="L8" s="35"/>
      <c r="M8" s="35"/>
      <c r="N8" s="35"/>
      <c r="O8" s="35"/>
    </row>
    <row r="9" spans="1:15" ht="16.5" x14ac:dyDescent="0.3">
      <c r="A9" s="34" t="s">
        <v>156</v>
      </c>
      <c r="B9" s="85">
        <f>K8</f>
        <v>456</v>
      </c>
      <c r="C9" s="85">
        <v>4587</v>
      </c>
      <c r="D9" s="86">
        <v>25</v>
      </c>
      <c r="E9" s="85">
        <f>B9+C9+D9</f>
        <v>5068</v>
      </c>
      <c r="F9" s="87"/>
      <c r="G9" s="85">
        <v>1650</v>
      </c>
      <c r="H9" s="88">
        <v>250</v>
      </c>
      <c r="I9" s="85">
        <f t="shared" ref="I9" si="2">J9-G9-H9</f>
        <v>2827</v>
      </c>
      <c r="J9" s="85">
        <f t="shared" ref="J9" si="3">E9-K9</f>
        <v>4727</v>
      </c>
      <c r="K9" s="85">
        <v>341</v>
      </c>
      <c r="L9" s="35"/>
      <c r="M9" s="35"/>
      <c r="N9" s="35"/>
      <c r="O9" s="35"/>
    </row>
    <row r="10" spans="1:15" ht="16.5" x14ac:dyDescent="0.3">
      <c r="A10" s="75" t="s">
        <v>112</v>
      </c>
      <c r="B10" s="35"/>
      <c r="C10" s="50"/>
      <c r="D10" s="50"/>
      <c r="E10" s="50"/>
      <c r="F10" s="50"/>
      <c r="G10" s="151"/>
      <c r="H10" s="50"/>
      <c r="I10" s="50"/>
      <c r="J10" s="50"/>
      <c r="K10" s="35"/>
      <c r="L10" s="35"/>
      <c r="M10" s="35"/>
      <c r="N10" s="35"/>
      <c r="O10" s="35"/>
    </row>
    <row r="11" spans="1:15" ht="14.5" x14ac:dyDescent="0.35">
      <c r="A11" s="35" t="s">
        <v>113</v>
      </c>
      <c r="B11" s="51"/>
      <c r="C11" s="55"/>
      <c r="D11" s="35"/>
      <c r="E11" s="51"/>
      <c r="F11" s="51"/>
      <c r="G11" s="51"/>
      <c r="H11" s="51"/>
      <c r="I11" s="51"/>
      <c r="J11" s="51"/>
      <c r="K11" s="35"/>
      <c r="L11" s="35"/>
      <c r="M11" s="35"/>
      <c r="N11" s="35"/>
      <c r="O11" s="35"/>
    </row>
    <row r="12" spans="1:15" ht="14.5" x14ac:dyDescent="0.35">
      <c r="A12" s="35" t="s">
        <v>164</v>
      </c>
      <c r="B12" s="51"/>
      <c r="C12" s="55"/>
      <c r="D12" s="35"/>
      <c r="E12" s="51"/>
      <c r="F12" s="51"/>
      <c r="G12" s="51"/>
      <c r="H12" s="51"/>
      <c r="I12" s="51"/>
      <c r="J12" s="51"/>
      <c r="K12" s="35"/>
      <c r="L12" s="35"/>
      <c r="M12" s="35"/>
      <c r="N12" s="35"/>
      <c r="O12" s="35"/>
    </row>
    <row r="13" spans="1:15" ht="14" x14ac:dyDescent="0.3">
      <c r="A13" s="35"/>
      <c r="B13" s="51"/>
      <c r="C13" s="55"/>
      <c r="D13" s="35"/>
      <c r="E13" s="51"/>
      <c r="F13" s="51"/>
      <c r="G13" s="51"/>
      <c r="H13" s="51"/>
      <c r="I13" s="51"/>
      <c r="J13" s="51"/>
      <c r="K13" s="35"/>
      <c r="L13" s="35"/>
      <c r="M13" s="35"/>
      <c r="N13" s="35"/>
      <c r="O13" s="35"/>
    </row>
    <row r="14" spans="1:15" ht="14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 ht="14" x14ac:dyDescent="0.3">
      <c r="A15" s="34" t="s">
        <v>150</v>
      </c>
      <c r="B15" s="34"/>
      <c r="C15" s="34"/>
      <c r="D15" s="34"/>
      <c r="E15" s="34"/>
      <c r="F15" s="34"/>
      <c r="G15" s="34"/>
      <c r="H15" s="34"/>
      <c r="I15" s="35"/>
      <c r="J15" s="34"/>
      <c r="K15" s="35"/>
      <c r="L15" s="35"/>
      <c r="M15" s="35"/>
      <c r="N15" s="35"/>
      <c r="O15" s="35"/>
    </row>
    <row r="16" spans="1:15" ht="14" x14ac:dyDescent="0.3">
      <c r="A16" s="35"/>
      <c r="B16" s="167" t="s">
        <v>0</v>
      </c>
      <c r="C16" s="167"/>
      <c r="D16" s="167"/>
      <c r="E16" s="167"/>
      <c r="F16" s="35"/>
      <c r="G16" s="167" t="s">
        <v>19</v>
      </c>
      <c r="H16" s="167"/>
      <c r="I16" s="167"/>
      <c r="J16" s="35"/>
      <c r="K16" s="35"/>
      <c r="L16" s="35"/>
      <c r="M16" s="35"/>
      <c r="N16" s="35"/>
      <c r="O16" s="35"/>
    </row>
    <row r="17" spans="1:15" ht="14" x14ac:dyDescent="0.3">
      <c r="A17" s="35" t="s">
        <v>74</v>
      </c>
      <c r="B17" s="37" t="s">
        <v>30</v>
      </c>
      <c r="C17" s="39"/>
      <c r="D17" s="39"/>
      <c r="E17" s="39"/>
      <c r="F17" s="39"/>
      <c r="G17" s="39"/>
      <c r="H17" s="39"/>
      <c r="I17" s="39"/>
      <c r="J17" s="37" t="s">
        <v>28</v>
      </c>
      <c r="K17" s="35"/>
      <c r="L17" s="35"/>
      <c r="M17" s="35"/>
      <c r="N17" s="35"/>
      <c r="O17" s="35"/>
    </row>
    <row r="18" spans="1:15" ht="14" x14ac:dyDescent="0.3">
      <c r="A18" s="40" t="s">
        <v>75</v>
      </c>
      <c r="B18" s="42" t="s">
        <v>27</v>
      </c>
      <c r="C18" s="80" t="s">
        <v>1</v>
      </c>
      <c r="D18" s="44" t="s">
        <v>31</v>
      </c>
      <c r="E18" s="42" t="s">
        <v>32</v>
      </c>
      <c r="F18" s="43"/>
      <c r="G18" s="89" t="s">
        <v>9</v>
      </c>
      <c r="H18" s="42" t="s">
        <v>4</v>
      </c>
      <c r="I18" s="44" t="s">
        <v>26</v>
      </c>
      <c r="J18" s="42" t="s">
        <v>27</v>
      </c>
      <c r="K18" s="35"/>
      <c r="L18" s="35"/>
      <c r="M18" s="35"/>
      <c r="N18" s="35"/>
      <c r="O18" s="35"/>
    </row>
    <row r="19" spans="1:15" ht="14.5" x14ac:dyDescent="0.35">
      <c r="A19" s="35"/>
      <c r="B19" s="168" t="s">
        <v>15</v>
      </c>
      <c r="C19" s="168"/>
      <c r="D19" s="168"/>
      <c r="E19" s="168"/>
      <c r="F19" s="168"/>
      <c r="G19" s="168"/>
      <c r="H19" s="168"/>
      <c r="I19" s="168"/>
      <c r="J19" s="168"/>
      <c r="K19" s="35"/>
      <c r="L19" s="35"/>
      <c r="M19" s="35"/>
      <c r="N19" s="35"/>
      <c r="O19" s="35"/>
    </row>
    <row r="20" spans="1:15" ht="14" x14ac:dyDescent="0.3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ht="16.5" x14ac:dyDescent="0.3">
      <c r="A21" s="35" t="s">
        <v>140</v>
      </c>
      <c r="B21" s="82">
        <v>45</v>
      </c>
      <c r="C21" s="84">
        <v>747.56499999999983</v>
      </c>
      <c r="D21" s="83">
        <v>0</v>
      </c>
      <c r="E21" s="84">
        <f t="shared" ref="E21:E22" si="4">B21+C21+D21</f>
        <v>792.56499999999983</v>
      </c>
      <c r="F21" s="35"/>
      <c r="G21" s="84">
        <f>I21-H21</f>
        <v>635.74599999999987</v>
      </c>
      <c r="H21" s="84">
        <v>113.819</v>
      </c>
      <c r="I21" s="84">
        <f t="shared" ref="I21:I22" si="5">E21-J21</f>
        <v>749.56499999999983</v>
      </c>
      <c r="J21" s="82">
        <v>43</v>
      </c>
      <c r="K21" s="35"/>
      <c r="L21" s="35"/>
      <c r="M21" s="35"/>
      <c r="N21" s="35"/>
      <c r="O21" s="35"/>
    </row>
    <row r="22" spans="1:15" ht="16.5" x14ac:dyDescent="0.3">
      <c r="A22" s="35" t="s">
        <v>144</v>
      </c>
      <c r="B22" s="82">
        <f>J21</f>
        <v>43</v>
      </c>
      <c r="C22" s="84">
        <v>779.976</v>
      </c>
      <c r="D22" s="83">
        <v>0</v>
      </c>
      <c r="E22" s="84">
        <f t="shared" si="4"/>
        <v>822.976</v>
      </c>
      <c r="F22" s="35"/>
      <c r="G22" s="84">
        <f>I22-H22</f>
        <v>688.53899999999999</v>
      </c>
      <c r="H22" s="84">
        <v>109.565</v>
      </c>
      <c r="I22" s="84">
        <f t="shared" si="5"/>
        <v>798.10400000000004</v>
      </c>
      <c r="J22" s="82">
        <v>24.872</v>
      </c>
      <c r="K22" s="35"/>
      <c r="L22" s="35"/>
      <c r="M22" s="35"/>
      <c r="N22" s="35"/>
      <c r="O22" s="35"/>
    </row>
    <row r="23" spans="1:15" ht="16.5" x14ac:dyDescent="0.3">
      <c r="A23" s="34" t="s">
        <v>156</v>
      </c>
      <c r="B23" s="85">
        <f>J22</f>
        <v>24.872</v>
      </c>
      <c r="C23" s="88">
        <v>745</v>
      </c>
      <c r="D23" s="86">
        <v>0</v>
      </c>
      <c r="E23" s="88">
        <f t="shared" ref="E23" si="6">B23+C23+D23</f>
        <v>769.87199999999996</v>
      </c>
      <c r="F23" s="87"/>
      <c r="G23" s="88">
        <f>I23-H23</f>
        <v>624.87199999999996</v>
      </c>
      <c r="H23" s="88">
        <v>100</v>
      </c>
      <c r="I23" s="88">
        <f t="shared" ref="I23" si="7">E23-J23</f>
        <v>724.87199999999996</v>
      </c>
      <c r="J23" s="85">
        <v>45</v>
      </c>
      <c r="K23" s="35"/>
      <c r="L23" s="35"/>
      <c r="M23" s="35"/>
      <c r="N23" s="35"/>
      <c r="O23" s="35"/>
    </row>
    <row r="24" spans="1:15" ht="16.5" x14ac:dyDescent="0.3">
      <c r="A24" s="75" t="s">
        <v>112</v>
      </c>
      <c r="B24" s="35"/>
      <c r="C24" s="50"/>
      <c r="D24" s="50"/>
      <c r="E24" s="50"/>
      <c r="F24" s="50"/>
      <c r="G24" s="50"/>
      <c r="H24" s="50"/>
      <c r="I24" s="35"/>
      <c r="J24" s="35"/>
      <c r="K24" s="35"/>
      <c r="L24" s="35"/>
      <c r="M24" s="35"/>
      <c r="N24" s="35"/>
      <c r="O24" s="35"/>
    </row>
    <row r="25" spans="1:15" ht="14.5" x14ac:dyDescent="0.35">
      <c r="A25" s="35" t="s">
        <v>159</v>
      </c>
      <c r="B25" s="90"/>
      <c r="C25" s="90"/>
      <c r="D25" s="90"/>
      <c r="E25" s="90"/>
      <c r="F25" s="90"/>
      <c r="G25" s="90"/>
      <c r="H25" s="90"/>
      <c r="I25" s="35"/>
      <c r="J25" s="35"/>
      <c r="K25" s="35"/>
      <c r="L25" s="35"/>
      <c r="M25" s="35"/>
      <c r="N25" s="35"/>
      <c r="O25" s="35"/>
    </row>
    <row r="26" spans="1:15" ht="14" x14ac:dyDescent="0.3">
      <c r="A26" s="38"/>
      <c r="B26" s="51"/>
      <c r="C26" s="51"/>
      <c r="D26" s="51"/>
      <c r="E26" s="51"/>
      <c r="F26" s="51"/>
      <c r="G26" s="51"/>
      <c r="H26" s="51"/>
      <c r="I26" s="35"/>
      <c r="J26" s="35"/>
      <c r="K26" s="35"/>
      <c r="L26" s="35"/>
      <c r="M26" s="35"/>
      <c r="N26" s="35"/>
      <c r="O26" s="35"/>
    </row>
    <row r="27" spans="1:15" ht="14" x14ac:dyDescent="0.3">
      <c r="A27" s="38"/>
      <c r="B27" s="51"/>
      <c r="C27" s="55"/>
      <c r="D27" s="51"/>
      <c r="E27" s="51"/>
      <c r="F27" s="51"/>
      <c r="G27" s="51"/>
      <c r="H27" s="51"/>
      <c r="I27" s="35"/>
      <c r="J27" s="35"/>
      <c r="K27" s="35"/>
      <c r="L27" s="35"/>
      <c r="M27" s="35"/>
      <c r="N27" s="35"/>
      <c r="O27" s="35"/>
    </row>
    <row r="28" spans="1:15" ht="14" x14ac:dyDescent="0.3">
      <c r="A28" s="34" t="s">
        <v>151</v>
      </c>
      <c r="B28" s="34"/>
      <c r="C28" s="34"/>
      <c r="D28" s="34"/>
      <c r="E28" s="34"/>
      <c r="F28" s="34"/>
      <c r="G28" s="34"/>
      <c r="H28" s="34"/>
      <c r="I28" s="35"/>
      <c r="J28" s="34"/>
      <c r="K28" s="35"/>
      <c r="L28" s="35"/>
      <c r="M28" s="35"/>
      <c r="N28" s="35"/>
      <c r="O28" s="35"/>
    </row>
    <row r="29" spans="1:15" ht="14" x14ac:dyDescent="0.3">
      <c r="A29" s="35"/>
      <c r="B29" s="167" t="s">
        <v>0</v>
      </c>
      <c r="C29" s="167"/>
      <c r="D29" s="167"/>
      <c r="E29" s="167"/>
      <c r="F29" s="35"/>
      <c r="G29" s="167" t="s">
        <v>19</v>
      </c>
      <c r="H29" s="167"/>
      <c r="I29" s="167"/>
      <c r="J29" s="35"/>
      <c r="K29" s="35"/>
      <c r="L29" s="35"/>
      <c r="M29" s="35"/>
      <c r="N29" s="35"/>
      <c r="O29" s="35"/>
    </row>
    <row r="30" spans="1:15" ht="14" x14ac:dyDescent="0.3">
      <c r="A30" s="35" t="s">
        <v>74</v>
      </c>
      <c r="B30" s="37" t="s">
        <v>30</v>
      </c>
      <c r="C30" s="39"/>
      <c r="D30" s="39"/>
      <c r="E30" s="39"/>
      <c r="F30" s="39"/>
      <c r="G30" s="39"/>
      <c r="H30" s="39"/>
      <c r="I30" s="39"/>
      <c r="J30" s="37" t="s">
        <v>28</v>
      </c>
      <c r="K30" s="35"/>
      <c r="L30" s="35"/>
      <c r="M30" s="35"/>
      <c r="N30" s="35"/>
      <c r="O30" s="35"/>
    </row>
    <row r="31" spans="1:15" ht="14" x14ac:dyDescent="0.3">
      <c r="A31" s="40" t="s">
        <v>75</v>
      </c>
      <c r="B31" s="42" t="s">
        <v>27</v>
      </c>
      <c r="C31" s="42" t="s">
        <v>1</v>
      </c>
      <c r="D31" s="44" t="s">
        <v>31</v>
      </c>
      <c r="E31" s="42" t="s">
        <v>32</v>
      </c>
      <c r="F31" s="43"/>
      <c r="G31" s="42" t="s">
        <v>29</v>
      </c>
      <c r="H31" s="42" t="s">
        <v>4</v>
      </c>
      <c r="I31" s="42" t="s">
        <v>26</v>
      </c>
      <c r="J31" s="42" t="s">
        <v>85</v>
      </c>
      <c r="K31" s="35"/>
      <c r="L31" s="35"/>
      <c r="M31" s="35"/>
      <c r="N31" s="35"/>
      <c r="O31" s="35"/>
    </row>
    <row r="32" spans="1:15" ht="14.5" x14ac:dyDescent="0.35">
      <c r="A32" s="35"/>
      <c r="B32" s="168" t="s">
        <v>16</v>
      </c>
      <c r="C32" s="168"/>
      <c r="D32" s="168"/>
      <c r="E32" s="168"/>
      <c r="F32" s="168"/>
      <c r="G32" s="168"/>
      <c r="H32" s="168"/>
      <c r="I32" s="168"/>
      <c r="J32" s="168"/>
      <c r="K32" s="35"/>
      <c r="L32" s="35"/>
      <c r="M32" s="35"/>
      <c r="N32" s="35"/>
      <c r="O32" s="35"/>
    </row>
    <row r="33" spans="1:15" ht="14" x14ac:dyDescent="0.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16.5" x14ac:dyDescent="0.3">
      <c r="A34" s="35" t="s">
        <v>140</v>
      </c>
      <c r="B34" s="83">
        <v>32</v>
      </c>
      <c r="C34" s="84">
        <v>455.77300000000002</v>
      </c>
      <c r="D34" s="83">
        <v>4.2840000000000003E-2</v>
      </c>
      <c r="E34" s="91">
        <f t="shared" ref="E34:E35" si="8">B34+C34+D34</f>
        <v>487.81584000000004</v>
      </c>
      <c r="F34" s="35"/>
      <c r="G34" s="84">
        <f t="shared" ref="G34:G35" si="9">I34-H34</f>
        <v>369.63574000000006</v>
      </c>
      <c r="H34" s="84">
        <v>83.139099999999999</v>
      </c>
      <c r="I34" s="84">
        <f t="shared" ref="I34:I35" si="10">E34-J34</f>
        <v>452.77484000000004</v>
      </c>
      <c r="J34" s="92">
        <v>35.040999999999997</v>
      </c>
      <c r="K34" s="35"/>
      <c r="L34" s="35"/>
      <c r="M34" s="35"/>
      <c r="N34" s="35"/>
      <c r="O34" s="35"/>
    </row>
    <row r="35" spans="1:15" ht="16.5" x14ac:dyDescent="0.3">
      <c r="A35" s="35" t="s">
        <v>144</v>
      </c>
      <c r="B35" s="83">
        <f>J34</f>
        <v>35.040999999999997</v>
      </c>
      <c r="C35" s="84">
        <v>481.34800000000001</v>
      </c>
      <c r="D35" s="83">
        <v>0.26666000000000001</v>
      </c>
      <c r="E35" s="91">
        <f t="shared" si="8"/>
        <v>516.65566000000001</v>
      </c>
      <c r="F35" s="35"/>
      <c r="G35" s="84">
        <f t="shared" si="9"/>
        <v>388.20186000000001</v>
      </c>
      <c r="H35" s="84">
        <v>83.915800000000004</v>
      </c>
      <c r="I35" s="84">
        <f t="shared" si="10"/>
        <v>472.11766</v>
      </c>
      <c r="J35" s="92">
        <f>28.538+16</f>
        <v>44.537999999999997</v>
      </c>
      <c r="K35" s="35"/>
      <c r="L35" s="35"/>
      <c r="M35" s="35"/>
      <c r="N35" s="35"/>
      <c r="O35" s="35"/>
    </row>
    <row r="36" spans="1:15" ht="16.5" x14ac:dyDescent="0.3">
      <c r="A36" s="34" t="s">
        <v>156</v>
      </c>
      <c r="B36" s="86">
        <f>J35</f>
        <v>44.537999999999997</v>
      </c>
      <c r="C36" s="88">
        <v>460</v>
      </c>
      <c r="D36" s="86">
        <v>0</v>
      </c>
      <c r="E36" s="93">
        <f t="shared" ref="E36" si="11">B36+C36+D36</f>
        <v>504.53800000000001</v>
      </c>
      <c r="F36" s="87"/>
      <c r="G36" s="88">
        <f t="shared" ref="G36" si="12">I36-H36</f>
        <v>374.53800000000001</v>
      </c>
      <c r="H36" s="88">
        <v>85</v>
      </c>
      <c r="I36" s="88">
        <f t="shared" ref="I36" si="13">E36-J36</f>
        <v>459.53800000000001</v>
      </c>
      <c r="J36" s="88">
        <v>45</v>
      </c>
      <c r="K36" s="35"/>
      <c r="L36" s="35"/>
      <c r="M36" s="35"/>
      <c r="N36" s="35"/>
      <c r="O36" s="35"/>
    </row>
    <row r="37" spans="1:15" ht="16.5" x14ac:dyDescent="0.3">
      <c r="A37" s="75" t="s">
        <v>112</v>
      </c>
      <c r="B37" s="35"/>
      <c r="C37" s="50"/>
      <c r="D37" s="50"/>
      <c r="E37" s="50"/>
      <c r="F37" s="50"/>
      <c r="G37" s="50"/>
      <c r="H37" s="50"/>
      <c r="I37" s="35"/>
      <c r="J37" s="35"/>
      <c r="K37" s="35"/>
      <c r="L37" s="35"/>
      <c r="M37" s="35"/>
      <c r="N37" s="35"/>
      <c r="O37" s="35"/>
    </row>
    <row r="38" spans="1:15" ht="14.5" x14ac:dyDescent="0.35">
      <c r="A38" s="35" t="s">
        <v>159</v>
      </c>
      <c r="B38" s="51"/>
      <c r="C38" s="55"/>
      <c r="D38" s="51"/>
      <c r="E38" s="51"/>
      <c r="F38" s="51"/>
      <c r="G38" s="51"/>
      <c r="H38" s="51"/>
      <c r="I38" s="35"/>
      <c r="J38" s="35"/>
      <c r="K38" s="35"/>
      <c r="L38" s="35"/>
      <c r="M38" s="35"/>
      <c r="N38" s="35"/>
      <c r="O38" s="35"/>
    </row>
    <row r="39" spans="1:15" ht="14" x14ac:dyDescent="0.3">
      <c r="A39" s="38"/>
      <c r="B39" s="38"/>
      <c r="C39" s="38"/>
      <c r="D39" s="38"/>
      <c r="E39" s="38"/>
      <c r="F39" s="38"/>
      <c r="G39" s="38"/>
      <c r="H39" s="38"/>
      <c r="I39" s="35"/>
      <c r="J39" s="35"/>
      <c r="K39" s="35"/>
      <c r="L39" s="35"/>
      <c r="M39" s="35"/>
      <c r="N39" s="35"/>
      <c r="O39" s="35"/>
    </row>
    <row r="40" spans="1:15" ht="14" x14ac:dyDescent="0.3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5" ht="14" x14ac:dyDescent="0.3">
      <c r="A41" s="34" t="s">
        <v>152</v>
      </c>
      <c r="B41" s="34"/>
      <c r="C41" s="34"/>
      <c r="D41" s="34"/>
      <c r="E41" s="34"/>
      <c r="F41" s="34"/>
      <c r="G41" s="34"/>
      <c r="H41" s="34"/>
      <c r="I41" s="34"/>
      <c r="J41" s="35"/>
      <c r="K41" s="35"/>
      <c r="L41" s="35"/>
      <c r="M41" s="35"/>
      <c r="N41" s="35"/>
      <c r="O41" s="34"/>
    </row>
    <row r="42" spans="1:15" ht="14" x14ac:dyDescent="0.3">
      <c r="A42" s="35"/>
      <c r="B42" s="167" t="s">
        <v>21</v>
      </c>
      <c r="C42" s="167"/>
      <c r="D42" s="37" t="s">
        <v>24</v>
      </c>
      <c r="E42" s="167" t="s">
        <v>81</v>
      </c>
      <c r="F42" s="167"/>
      <c r="G42" s="167"/>
      <c r="H42" s="167"/>
      <c r="I42" s="35"/>
      <c r="J42" s="167" t="s">
        <v>19</v>
      </c>
      <c r="K42" s="167"/>
      <c r="L42" s="167"/>
      <c r="M42" s="167"/>
      <c r="N42" s="167"/>
      <c r="O42" s="35"/>
    </row>
    <row r="43" spans="1:15" ht="14" x14ac:dyDescent="0.3">
      <c r="A43" s="35" t="s">
        <v>74</v>
      </c>
      <c r="B43" s="37" t="s">
        <v>22</v>
      </c>
      <c r="C43" s="37" t="s">
        <v>23</v>
      </c>
      <c r="D43" s="35"/>
      <c r="E43" s="37" t="s">
        <v>30</v>
      </c>
      <c r="F43" s="37"/>
      <c r="G43" s="37"/>
      <c r="H43" s="37"/>
      <c r="I43" s="35"/>
      <c r="J43" s="148" t="s">
        <v>9</v>
      </c>
      <c r="K43" s="37"/>
      <c r="L43" s="37" t="s">
        <v>88</v>
      </c>
      <c r="M43" s="37"/>
      <c r="N43" s="37"/>
      <c r="O43" s="37" t="s">
        <v>28</v>
      </c>
    </row>
    <row r="44" spans="1:15" ht="14" x14ac:dyDescent="0.3">
      <c r="A44" s="40" t="s">
        <v>76</v>
      </c>
      <c r="B44" s="41"/>
      <c r="C44" s="41"/>
      <c r="D44" s="41"/>
      <c r="E44" s="42" t="s">
        <v>27</v>
      </c>
      <c r="F44" s="42" t="s">
        <v>1</v>
      </c>
      <c r="G44" s="42" t="s">
        <v>31</v>
      </c>
      <c r="H44" s="42" t="s">
        <v>32</v>
      </c>
      <c r="I44" s="42"/>
      <c r="J44" s="42" t="s">
        <v>36</v>
      </c>
      <c r="K44" s="42" t="s">
        <v>34</v>
      </c>
      <c r="L44" s="42" t="s">
        <v>5</v>
      </c>
      <c r="M44" s="44" t="s">
        <v>4</v>
      </c>
      <c r="N44" s="42" t="s">
        <v>26</v>
      </c>
      <c r="O44" s="42" t="s">
        <v>85</v>
      </c>
    </row>
    <row r="45" spans="1:15" ht="14.5" x14ac:dyDescent="0.35">
      <c r="A45" s="35"/>
      <c r="B45" s="169" t="s">
        <v>83</v>
      </c>
      <c r="C45" s="168"/>
      <c r="D45" s="94" t="s">
        <v>70</v>
      </c>
      <c r="E45" s="168" t="s">
        <v>17</v>
      </c>
      <c r="F45" s="168"/>
      <c r="G45" s="168"/>
      <c r="H45" s="168"/>
      <c r="I45" s="168"/>
      <c r="J45" s="168"/>
      <c r="K45" s="168"/>
      <c r="L45" s="168"/>
      <c r="M45" s="168"/>
      <c r="N45" s="168"/>
      <c r="O45" s="168"/>
    </row>
    <row r="46" spans="1:15" ht="14" x14ac:dyDescent="0.3">
      <c r="A46" s="35"/>
      <c r="B46" s="37"/>
      <c r="C46" s="37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1:15" ht="16.5" x14ac:dyDescent="0.3">
      <c r="A47" s="35" t="s">
        <v>140</v>
      </c>
      <c r="B47" s="82">
        <v>1425.5</v>
      </c>
      <c r="C47" s="82">
        <v>1373.5</v>
      </c>
      <c r="D47" s="82">
        <f>F47*1000/C47</f>
        <v>4001.4088096104842</v>
      </c>
      <c r="E47" s="82">
        <v>2717.08</v>
      </c>
      <c r="F47" s="82">
        <v>5495.9350000000004</v>
      </c>
      <c r="G47" s="92">
        <v>117.1242623755961</v>
      </c>
      <c r="H47" s="82">
        <f t="shared" ref="H47:H48" si="14">SUM(E47:G47)</f>
        <v>8330.1392623755946</v>
      </c>
      <c r="I47" s="82"/>
      <c r="J47" s="82">
        <v>3099</v>
      </c>
      <c r="K47" s="82">
        <f>1.333*486.398</f>
        <v>648.36853400000007</v>
      </c>
      <c r="L47" s="84">
        <f>N47-J47-K47-M47</f>
        <v>962.05385708653807</v>
      </c>
      <c r="M47" s="84">
        <v>1199.6268712890562</v>
      </c>
      <c r="N47" s="82">
        <f t="shared" ref="N47:N48" si="15">H47-O47</f>
        <v>5909.0492623755945</v>
      </c>
      <c r="O47" s="82">
        <v>2421.09</v>
      </c>
    </row>
    <row r="48" spans="1:15" ht="16.5" x14ac:dyDescent="0.3">
      <c r="A48" s="35" t="s">
        <v>144</v>
      </c>
      <c r="B48" s="82">
        <v>1432.7</v>
      </c>
      <c r="C48" s="82">
        <v>1389.7</v>
      </c>
      <c r="D48" s="82">
        <f>F48*1000/C48</f>
        <v>3933.5734331150607</v>
      </c>
      <c r="E48" s="82">
        <f>O47</f>
        <v>2421.09</v>
      </c>
      <c r="F48" s="82">
        <v>5466.4870000000001</v>
      </c>
      <c r="G48" s="92">
        <v>113.761</v>
      </c>
      <c r="H48" s="82">
        <f t="shared" si="14"/>
        <v>8001.3380000000006</v>
      </c>
      <c r="I48" s="82"/>
      <c r="J48" s="82">
        <v>3214.3</v>
      </c>
      <c r="K48" s="82">
        <f>1.333*580.628</f>
        <v>773.977124</v>
      </c>
      <c r="L48" s="84">
        <f>N48-J48-K48-M48</f>
        <v>287.33884758693694</v>
      </c>
      <c r="M48" s="84">
        <v>1607.5340284130634</v>
      </c>
      <c r="N48" s="82">
        <f t="shared" si="15"/>
        <v>5883.1500000000005</v>
      </c>
      <c r="O48" s="82">
        <f>2118.188</f>
        <v>2118.1880000000001</v>
      </c>
    </row>
    <row r="49" spans="1:15" ht="16.5" x14ac:dyDescent="0.3">
      <c r="A49" s="34" t="s">
        <v>156</v>
      </c>
      <c r="B49" s="85">
        <v>1664.2</v>
      </c>
      <c r="C49" s="85">
        <v>1615.8</v>
      </c>
      <c r="D49" s="85">
        <f>F49*1000/C49</f>
        <v>3796.2000247555393</v>
      </c>
      <c r="E49" s="85">
        <f>O48</f>
        <v>2118.1880000000001</v>
      </c>
      <c r="F49" s="85">
        <v>6133.9</v>
      </c>
      <c r="G49" s="88">
        <v>115</v>
      </c>
      <c r="H49" s="85">
        <f t="shared" ref="H49" si="16">SUM(E49:G49)</f>
        <v>8367.0879999999997</v>
      </c>
      <c r="I49" s="85"/>
      <c r="J49" s="85">
        <v>3323</v>
      </c>
      <c r="K49" s="85">
        <v>800</v>
      </c>
      <c r="L49" s="88">
        <f>N49-J49-K49-M49</f>
        <v>468.08799999999974</v>
      </c>
      <c r="M49" s="88">
        <v>1500</v>
      </c>
      <c r="N49" s="85">
        <f t="shared" ref="N49" si="17">H49-O49</f>
        <v>6091.0879999999997</v>
      </c>
      <c r="O49" s="85">
        <v>2276</v>
      </c>
    </row>
    <row r="50" spans="1:15" ht="16.5" x14ac:dyDescent="0.3">
      <c r="A50" s="75" t="s">
        <v>112</v>
      </c>
      <c r="B50" s="35"/>
      <c r="C50" s="50"/>
      <c r="D50" s="50"/>
      <c r="E50" s="50"/>
      <c r="F50" s="50"/>
      <c r="G50" s="50"/>
      <c r="H50" s="50"/>
      <c r="I50" s="35"/>
      <c r="J50" s="35"/>
      <c r="K50" s="35"/>
      <c r="L50" s="35"/>
      <c r="M50" s="35"/>
      <c r="N50" s="35"/>
      <c r="O50" s="35"/>
    </row>
    <row r="51" spans="1:15" ht="14.5" x14ac:dyDescent="0.35">
      <c r="A51" s="35" t="s">
        <v>158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15" ht="14.5" x14ac:dyDescent="0.35">
      <c r="A52" s="35" t="s">
        <v>164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1:15" ht="14" x14ac:dyDescent="0.3">
      <c r="A53" s="39" t="s">
        <v>20</v>
      </c>
      <c r="B53" s="149">
        <f ca="1">NOW()</f>
        <v>44210.420844560183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1:15" ht="15.5" x14ac:dyDescent="0.35">
      <c r="G54" s="14"/>
      <c r="H54" s="14"/>
    </row>
    <row r="55" spans="1:15" ht="15.5" x14ac:dyDescent="0.35">
      <c r="G55" s="14"/>
      <c r="H55" s="14"/>
    </row>
    <row r="56" spans="1:15" ht="15.5" x14ac:dyDescent="0.35">
      <c r="G56" s="14"/>
      <c r="H56" s="14"/>
    </row>
    <row r="57" spans="1:15" ht="15.5" x14ac:dyDescent="0.35">
      <c r="G57" s="14"/>
      <c r="H57" s="14"/>
    </row>
  </sheetData>
  <mergeCells count="14">
    <mergeCell ref="G2:J2"/>
    <mergeCell ref="G16:I16"/>
    <mergeCell ref="B16:E16"/>
    <mergeCell ref="B2:E2"/>
    <mergeCell ref="B29:E29"/>
    <mergeCell ref="G29:I29"/>
    <mergeCell ref="B5:K5"/>
    <mergeCell ref="B42:C42"/>
    <mergeCell ref="B45:C45"/>
    <mergeCell ref="B32:J32"/>
    <mergeCell ref="B19:J19"/>
    <mergeCell ref="E45:O45"/>
    <mergeCell ref="E42:H42"/>
    <mergeCell ref="J42:N42"/>
  </mergeCells>
  <phoneticPr fontId="3" type="noConversion"/>
  <pageMargins left="0.75" right="0.75" top="1" bottom="1" header="0.5" footer="0.5"/>
  <pageSetup scale="6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K39"/>
  <sheetViews>
    <sheetView showGridLines="0" zoomScaleNormal="100" workbookViewId="0"/>
  </sheetViews>
  <sheetFormatPr defaultRowHeight="12.5" x14ac:dyDescent="0.25"/>
  <cols>
    <col min="1" max="3" width="11.7265625" customWidth="1"/>
    <col min="4" max="4" width="14.7265625" customWidth="1"/>
    <col min="5" max="5" width="12.54296875" customWidth="1"/>
    <col min="6" max="7" width="11.7265625" customWidth="1"/>
  </cols>
  <sheetData>
    <row r="1" spans="1:11" ht="15.65" customHeight="1" x14ac:dyDescent="0.3">
      <c r="A1" s="34" t="s">
        <v>45</v>
      </c>
      <c r="B1" s="34"/>
      <c r="C1" s="34"/>
      <c r="D1" s="34"/>
      <c r="E1" s="34"/>
      <c r="F1" s="34"/>
      <c r="G1" s="34"/>
      <c r="H1" s="1"/>
      <c r="I1" s="1"/>
      <c r="J1" s="1"/>
      <c r="K1" s="1"/>
    </row>
    <row r="2" spans="1:11" ht="15.65" customHeight="1" x14ac:dyDescent="0.3">
      <c r="A2" s="38" t="s">
        <v>11</v>
      </c>
      <c r="B2" s="76" t="s">
        <v>114</v>
      </c>
      <c r="C2" s="76" t="s">
        <v>115</v>
      </c>
      <c r="D2" s="76" t="s">
        <v>116</v>
      </c>
      <c r="E2" s="76" t="s">
        <v>117</v>
      </c>
      <c r="F2" s="76" t="s">
        <v>118</v>
      </c>
      <c r="G2" s="76" t="s">
        <v>119</v>
      </c>
      <c r="H2" s="1"/>
      <c r="I2" s="1"/>
      <c r="J2" s="1"/>
      <c r="K2" s="1"/>
    </row>
    <row r="3" spans="1:11" ht="15.65" customHeight="1" x14ac:dyDescent="0.3">
      <c r="A3" s="34" t="s">
        <v>12</v>
      </c>
      <c r="B3" s="43"/>
      <c r="C3" s="95"/>
      <c r="D3" s="95"/>
      <c r="E3" s="95"/>
      <c r="F3" s="95"/>
      <c r="G3" s="95"/>
      <c r="H3" s="1"/>
      <c r="I3" s="1"/>
      <c r="J3" s="1"/>
      <c r="K3" s="2"/>
    </row>
    <row r="4" spans="1:11" ht="14.5" x14ac:dyDescent="0.35">
      <c r="A4" s="96"/>
      <c r="B4" s="97" t="s">
        <v>68</v>
      </c>
      <c r="C4" s="97" t="s">
        <v>77</v>
      </c>
      <c r="D4" s="97" t="s">
        <v>94</v>
      </c>
      <c r="E4" s="97" t="s">
        <v>44</v>
      </c>
      <c r="F4" s="97" t="s">
        <v>67</v>
      </c>
      <c r="G4" s="97" t="s">
        <v>68</v>
      </c>
      <c r="H4" s="1"/>
      <c r="I4" s="2"/>
      <c r="J4" s="2"/>
      <c r="K4" s="2"/>
    </row>
    <row r="5" spans="1:11" ht="14" x14ac:dyDescent="0.3">
      <c r="A5" s="35"/>
      <c r="B5" s="35"/>
      <c r="C5" s="35"/>
      <c r="D5" s="37"/>
      <c r="E5" s="35"/>
      <c r="F5" s="35"/>
      <c r="G5" s="35"/>
      <c r="H5" s="1"/>
      <c r="I5" s="1"/>
      <c r="J5" s="1"/>
      <c r="K5" s="1"/>
    </row>
    <row r="6" spans="1:11" ht="14" x14ac:dyDescent="0.3">
      <c r="A6" s="35" t="s">
        <v>48</v>
      </c>
      <c r="B6" s="98">
        <v>11.3</v>
      </c>
      <c r="C6" s="98">
        <v>161</v>
      </c>
      <c r="D6" s="98">
        <v>23.3</v>
      </c>
      <c r="E6" s="98">
        <v>19.3</v>
      </c>
      <c r="F6" s="98">
        <v>22.5</v>
      </c>
      <c r="G6" s="98">
        <v>12.2</v>
      </c>
      <c r="H6" s="1"/>
      <c r="I6" s="3"/>
      <c r="J6" s="3"/>
      <c r="K6" s="3"/>
    </row>
    <row r="7" spans="1:11" ht="14" x14ac:dyDescent="0.3">
      <c r="A7" s="35" t="s">
        <v>59</v>
      </c>
      <c r="B7" s="98">
        <v>12.5</v>
      </c>
      <c r="C7" s="98">
        <v>260</v>
      </c>
      <c r="D7" s="98">
        <v>29.1</v>
      </c>
      <c r="E7" s="98">
        <v>24</v>
      </c>
      <c r="F7" s="98">
        <v>31.8</v>
      </c>
      <c r="G7" s="98">
        <v>13.9</v>
      </c>
      <c r="H7" s="1"/>
      <c r="I7" s="3"/>
      <c r="J7" s="3"/>
      <c r="K7" s="3"/>
    </row>
    <row r="8" spans="1:11" ht="14" x14ac:dyDescent="0.3">
      <c r="A8" s="35" t="s">
        <v>80</v>
      </c>
      <c r="B8" s="98">
        <v>14.4</v>
      </c>
      <c r="C8" s="98">
        <v>252</v>
      </c>
      <c r="D8" s="98">
        <v>25.4</v>
      </c>
      <c r="E8" s="98">
        <v>26.5</v>
      </c>
      <c r="F8" s="98">
        <v>30.1</v>
      </c>
      <c r="G8" s="98">
        <v>13.8</v>
      </c>
      <c r="H8" s="1"/>
      <c r="I8" s="3"/>
      <c r="J8" s="3"/>
      <c r="K8" s="3"/>
    </row>
    <row r="9" spans="1:11" ht="14" x14ac:dyDescent="0.3">
      <c r="A9" s="35" t="s">
        <v>87</v>
      </c>
      <c r="B9" s="98">
        <v>13</v>
      </c>
      <c r="C9" s="98">
        <v>246</v>
      </c>
      <c r="D9" s="98">
        <v>21.4</v>
      </c>
      <c r="E9" s="98">
        <v>20.6</v>
      </c>
      <c r="F9" s="98">
        <v>24.9</v>
      </c>
      <c r="G9" s="98">
        <v>13.8</v>
      </c>
      <c r="H9" s="1"/>
      <c r="I9" s="3"/>
      <c r="J9" s="3"/>
      <c r="K9" s="3"/>
    </row>
    <row r="10" spans="1:11" ht="14" x14ac:dyDescent="0.3">
      <c r="A10" s="35" t="s">
        <v>90</v>
      </c>
      <c r="B10" s="98">
        <v>10.1</v>
      </c>
      <c r="C10" s="98">
        <v>194</v>
      </c>
      <c r="D10" s="98">
        <v>21.7</v>
      </c>
      <c r="E10" s="98">
        <v>16.899999999999999</v>
      </c>
      <c r="F10" s="98">
        <v>22</v>
      </c>
      <c r="G10" s="98">
        <v>11.8</v>
      </c>
      <c r="H10" s="1"/>
      <c r="I10" s="3"/>
      <c r="J10" s="3"/>
      <c r="K10" s="3"/>
    </row>
    <row r="11" spans="1:11" ht="14" x14ac:dyDescent="0.3">
      <c r="A11" s="35" t="s">
        <v>91</v>
      </c>
      <c r="B11" s="98">
        <v>8.9499999999999993</v>
      </c>
      <c r="C11" s="98">
        <v>227</v>
      </c>
      <c r="D11" s="98">
        <v>19.600000000000001</v>
      </c>
      <c r="E11" s="98">
        <v>15.6</v>
      </c>
      <c r="F11" s="98">
        <v>19.3</v>
      </c>
      <c r="G11" s="98">
        <v>8.9499999999999993</v>
      </c>
      <c r="H11" s="1"/>
      <c r="I11" s="3"/>
      <c r="J11" s="3"/>
      <c r="K11" s="3"/>
    </row>
    <row r="12" spans="1:11" ht="14" x14ac:dyDescent="0.3">
      <c r="A12" s="35" t="s">
        <v>106</v>
      </c>
      <c r="B12" s="98">
        <v>9.4700000000000006</v>
      </c>
      <c r="C12" s="98">
        <v>195</v>
      </c>
      <c r="D12" s="98">
        <v>17.399999999999999</v>
      </c>
      <c r="E12" s="98">
        <v>16.600000000000001</v>
      </c>
      <c r="F12" s="98">
        <v>19.7</v>
      </c>
      <c r="G12" s="98">
        <v>8</v>
      </c>
      <c r="H12" s="1"/>
      <c r="I12" s="3"/>
      <c r="J12" s="3"/>
      <c r="K12" s="3"/>
    </row>
    <row r="13" spans="1:11" ht="14" x14ac:dyDescent="0.3">
      <c r="A13" s="35" t="s">
        <v>108</v>
      </c>
      <c r="B13" s="98">
        <v>9.33</v>
      </c>
      <c r="C13" s="98">
        <v>142</v>
      </c>
      <c r="D13" s="98">
        <v>17.2</v>
      </c>
      <c r="E13" s="98">
        <v>17.5</v>
      </c>
      <c r="F13" s="98">
        <v>22.9</v>
      </c>
      <c r="G13" s="98">
        <v>9.5299999999999994</v>
      </c>
      <c r="H13" s="1"/>
      <c r="I13" s="3"/>
      <c r="J13" s="3"/>
      <c r="K13" s="3"/>
    </row>
    <row r="14" spans="1:11" ht="14" x14ac:dyDescent="0.3">
      <c r="A14" s="35" t="s">
        <v>141</v>
      </c>
      <c r="B14" s="98">
        <v>8.48</v>
      </c>
      <c r="C14" s="98">
        <v>155</v>
      </c>
      <c r="D14" s="98">
        <v>17.399999999999999</v>
      </c>
      <c r="E14" s="98">
        <v>15.8</v>
      </c>
      <c r="F14" s="98">
        <v>21.5</v>
      </c>
      <c r="G14" s="98">
        <v>9.89</v>
      </c>
      <c r="H14" s="1"/>
      <c r="I14" s="7"/>
      <c r="J14" s="3"/>
      <c r="K14" s="3"/>
    </row>
    <row r="15" spans="1:11" ht="14" x14ac:dyDescent="0.3">
      <c r="A15" s="35" t="s">
        <v>145</v>
      </c>
      <c r="B15" s="98">
        <v>8.57</v>
      </c>
      <c r="C15" s="98">
        <v>161</v>
      </c>
      <c r="D15" s="98">
        <v>19.5</v>
      </c>
      <c r="E15" s="98">
        <v>14.8</v>
      </c>
      <c r="F15" s="98">
        <v>20.5</v>
      </c>
      <c r="G15" s="98">
        <v>9.15</v>
      </c>
      <c r="H15" s="1"/>
      <c r="I15" s="7"/>
      <c r="J15" s="3"/>
      <c r="K15" s="3"/>
    </row>
    <row r="16" spans="1:11" ht="16.5" x14ac:dyDescent="0.3">
      <c r="A16" s="35" t="s">
        <v>157</v>
      </c>
      <c r="B16" s="98">
        <v>11.15</v>
      </c>
      <c r="C16" s="98">
        <v>190</v>
      </c>
      <c r="D16" s="98">
        <v>19.7</v>
      </c>
      <c r="E16" s="98">
        <v>16.899999999999999</v>
      </c>
      <c r="F16" s="98">
        <v>21.5</v>
      </c>
      <c r="G16" s="98">
        <v>10.4</v>
      </c>
      <c r="H16" s="1"/>
      <c r="I16" s="7"/>
      <c r="J16" s="3"/>
      <c r="K16" s="3"/>
    </row>
    <row r="17" spans="1:11" ht="14" x14ac:dyDescent="0.3">
      <c r="A17" s="38"/>
      <c r="B17" s="100"/>
      <c r="C17" s="101"/>
      <c r="D17" s="102"/>
      <c r="E17" s="102"/>
      <c r="F17" s="99"/>
      <c r="G17" s="103"/>
      <c r="H17" s="3"/>
      <c r="I17" s="7"/>
      <c r="J17" s="3"/>
      <c r="K17" s="3"/>
    </row>
    <row r="18" spans="1:11" ht="14" x14ac:dyDescent="0.3">
      <c r="A18" s="61" t="s">
        <v>145</v>
      </c>
      <c r="B18" s="98"/>
      <c r="C18" s="98"/>
      <c r="D18" s="98"/>
      <c r="E18" s="98"/>
      <c r="F18" s="98"/>
      <c r="G18" s="98"/>
    </row>
    <row r="19" spans="1:11" ht="14" x14ac:dyDescent="0.3">
      <c r="A19" s="38" t="s">
        <v>63</v>
      </c>
      <c r="B19" s="98">
        <v>8.35</v>
      </c>
      <c r="C19" s="98">
        <v>148</v>
      </c>
      <c r="D19" s="98">
        <v>18.5</v>
      </c>
      <c r="E19" s="98">
        <v>14.2</v>
      </c>
      <c r="F19" s="98">
        <v>19.8</v>
      </c>
      <c r="G19" s="98">
        <v>8.84</v>
      </c>
    </row>
    <row r="20" spans="1:11" ht="14" x14ac:dyDescent="0.3">
      <c r="A20" s="38" t="s">
        <v>50</v>
      </c>
      <c r="B20" s="98">
        <v>8.6</v>
      </c>
      <c r="C20" s="98">
        <v>152</v>
      </c>
      <c r="D20" s="98">
        <v>17.5</v>
      </c>
      <c r="E20" s="98">
        <v>14.2</v>
      </c>
      <c r="F20" s="98">
        <v>20.399999999999999</v>
      </c>
      <c r="G20" s="98">
        <v>9.01</v>
      </c>
    </row>
    <row r="21" spans="1:11" ht="14" x14ac:dyDescent="0.3">
      <c r="A21" s="38" t="s">
        <v>51</v>
      </c>
      <c r="B21" s="98">
        <v>8.59</v>
      </c>
      <c r="C21" s="98">
        <v>162</v>
      </c>
      <c r="D21" s="98">
        <v>17.7</v>
      </c>
      <c r="E21" s="98">
        <v>14.3</v>
      </c>
      <c r="F21" s="98">
        <v>19.2</v>
      </c>
      <c r="G21" s="98">
        <v>8.6999999999999993</v>
      </c>
    </row>
    <row r="22" spans="1:11" ht="14" x14ac:dyDescent="0.3">
      <c r="A22" s="38" t="s">
        <v>52</v>
      </c>
      <c r="B22" s="98">
        <v>8.6999999999999993</v>
      </c>
      <c r="C22" s="98">
        <v>163</v>
      </c>
      <c r="D22" s="98">
        <v>17.8</v>
      </c>
      <c r="E22" s="98">
        <v>14.7</v>
      </c>
      <c r="F22" s="98">
        <v>19.600000000000001</v>
      </c>
      <c r="G22" s="98">
        <v>8.91</v>
      </c>
    </row>
    <row r="23" spans="1:11" ht="14" x14ac:dyDescent="0.3">
      <c r="A23" s="38" t="s">
        <v>53</v>
      </c>
      <c r="B23" s="98">
        <v>8.84</v>
      </c>
      <c r="C23" s="98">
        <v>161</v>
      </c>
      <c r="D23" s="98">
        <v>19.5</v>
      </c>
      <c r="E23" s="98">
        <v>16.100000000000001</v>
      </c>
      <c r="F23" s="98">
        <v>20.9</v>
      </c>
      <c r="G23" s="98">
        <v>8.9700000000000006</v>
      </c>
    </row>
    <row r="24" spans="1:11" ht="14" x14ac:dyDescent="0.3">
      <c r="A24" s="38" t="s">
        <v>54</v>
      </c>
      <c r="B24" s="98">
        <v>8.6</v>
      </c>
      <c r="C24" s="98">
        <v>190</v>
      </c>
      <c r="D24" s="98">
        <v>20.399999999999999</v>
      </c>
      <c r="E24" s="98">
        <v>16.100000000000001</v>
      </c>
      <c r="F24" s="98">
        <v>20.5</v>
      </c>
      <c r="G24" s="98">
        <v>10.4</v>
      </c>
    </row>
    <row r="25" spans="1:11" ht="14" x14ac:dyDescent="0.3">
      <c r="A25" s="38" t="s">
        <v>55</v>
      </c>
      <c r="B25" s="98">
        <v>8.4700000000000006</v>
      </c>
      <c r="C25" s="98" t="s">
        <v>10</v>
      </c>
      <c r="D25" s="98">
        <v>20.9</v>
      </c>
      <c r="E25" s="98">
        <v>15.7</v>
      </c>
      <c r="F25" s="98">
        <v>20.6</v>
      </c>
      <c r="G25" s="98">
        <v>10.7</v>
      </c>
    </row>
    <row r="26" spans="1:11" ht="14" x14ac:dyDescent="0.3">
      <c r="A26" s="38" t="s">
        <v>56</v>
      </c>
      <c r="B26" s="98">
        <v>8.35</v>
      </c>
      <c r="C26" s="98" t="s">
        <v>10</v>
      </c>
      <c r="D26" s="98">
        <v>20.3</v>
      </c>
      <c r="E26" s="98">
        <v>15.2</v>
      </c>
      <c r="F26" s="98">
        <v>20.6</v>
      </c>
      <c r="G26" s="98">
        <v>9.31</v>
      </c>
    </row>
    <row r="27" spans="1:11" ht="14" x14ac:dyDescent="0.3">
      <c r="A27" s="38" t="s">
        <v>57</v>
      </c>
      <c r="B27" s="98">
        <v>8.2799999999999994</v>
      </c>
      <c r="C27" s="98" t="s">
        <v>10</v>
      </c>
      <c r="D27" s="98">
        <v>20.5</v>
      </c>
      <c r="E27" s="98">
        <v>14.4</v>
      </c>
      <c r="F27" s="98">
        <v>21.1</v>
      </c>
      <c r="G27" s="98">
        <v>9.57</v>
      </c>
    </row>
    <row r="28" spans="1:11" ht="14" x14ac:dyDescent="0.3">
      <c r="A28" s="38" t="s">
        <v>58</v>
      </c>
      <c r="B28" s="98">
        <v>8.34</v>
      </c>
      <c r="C28" s="98" t="s">
        <v>10</v>
      </c>
      <c r="D28" s="98">
        <v>21.7</v>
      </c>
      <c r="E28" s="98">
        <v>15.2</v>
      </c>
      <c r="F28" s="98">
        <v>20.7</v>
      </c>
      <c r="G28" s="98">
        <v>10</v>
      </c>
    </row>
    <row r="29" spans="1:11" ht="14" x14ac:dyDescent="0.3">
      <c r="A29" s="38" t="s">
        <v>60</v>
      </c>
      <c r="B29" s="98">
        <v>8.5</v>
      </c>
      <c r="C29" s="98" t="s">
        <v>10</v>
      </c>
      <c r="D29" s="98">
        <v>23.7</v>
      </c>
      <c r="E29" s="98">
        <v>15.5</v>
      </c>
      <c r="F29" s="98">
        <v>20.7</v>
      </c>
      <c r="G29" s="98">
        <v>9.64</v>
      </c>
    </row>
    <row r="30" spans="1:11" ht="14" x14ac:dyDescent="0.3">
      <c r="A30" s="38" t="s">
        <v>61</v>
      </c>
      <c r="B30" s="98">
        <v>8.66</v>
      </c>
      <c r="C30" s="98">
        <v>155</v>
      </c>
      <c r="D30" s="98">
        <v>25.8</v>
      </c>
      <c r="E30" s="98">
        <v>15.1</v>
      </c>
      <c r="F30" s="98">
        <v>20.6</v>
      </c>
      <c r="G30" s="98">
        <v>8.56</v>
      </c>
    </row>
    <row r="31" spans="1:11" ht="14" x14ac:dyDescent="0.3">
      <c r="A31" s="38"/>
      <c r="B31" s="98"/>
      <c r="C31" s="98"/>
      <c r="D31" s="98"/>
      <c r="E31" s="98"/>
      <c r="F31" s="98"/>
      <c r="G31" s="98"/>
    </row>
    <row r="32" spans="1:11" ht="14" x14ac:dyDescent="0.3">
      <c r="A32" s="61" t="s">
        <v>168</v>
      </c>
      <c r="B32" s="98"/>
      <c r="C32" s="98"/>
      <c r="D32" s="98"/>
      <c r="E32" s="98"/>
      <c r="F32" s="98"/>
      <c r="G32" s="98"/>
    </row>
    <row r="33" spans="1:7" ht="14" x14ac:dyDescent="0.3">
      <c r="A33" s="38" t="s">
        <v>63</v>
      </c>
      <c r="B33" s="98">
        <v>9.24</v>
      </c>
      <c r="C33" s="98">
        <v>160</v>
      </c>
      <c r="D33" s="98">
        <v>23.7</v>
      </c>
      <c r="E33" s="98">
        <v>16.399999999999999</v>
      </c>
      <c r="F33" s="98">
        <v>20.5</v>
      </c>
      <c r="G33" s="98">
        <v>9.64</v>
      </c>
    </row>
    <row r="34" spans="1:7" ht="14" x14ac:dyDescent="0.3">
      <c r="A34" s="38" t="s">
        <v>50</v>
      </c>
      <c r="B34" s="98">
        <v>9.6300000000000008</v>
      </c>
      <c r="C34" s="98">
        <v>189</v>
      </c>
      <c r="D34" s="98">
        <v>19.100000000000001</v>
      </c>
      <c r="E34" s="98">
        <v>16.2</v>
      </c>
      <c r="F34" s="98">
        <v>20.9</v>
      </c>
      <c r="G34" s="98">
        <v>9.76</v>
      </c>
    </row>
    <row r="35" spans="1:7" ht="14" x14ac:dyDescent="0.3">
      <c r="A35" s="34" t="s">
        <v>51</v>
      </c>
      <c r="B35" s="104">
        <v>10.3</v>
      </c>
      <c r="C35" s="104">
        <v>199</v>
      </c>
      <c r="D35" s="104">
        <v>18.899999999999999</v>
      </c>
      <c r="E35" s="104">
        <v>18.100000000000001</v>
      </c>
      <c r="F35" s="104">
        <v>21.2</v>
      </c>
      <c r="G35" s="104">
        <v>10.7</v>
      </c>
    </row>
    <row r="36" spans="1:7" ht="16.5" x14ac:dyDescent="0.3">
      <c r="A36" s="35" t="s">
        <v>120</v>
      </c>
      <c r="B36" s="35"/>
      <c r="C36" s="35"/>
      <c r="D36" s="35"/>
      <c r="E36" s="35"/>
      <c r="F36" s="35"/>
      <c r="G36" s="35"/>
    </row>
    <row r="37" spans="1:7" ht="14" x14ac:dyDescent="0.3">
      <c r="A37" s="35" t="s">
        <v>49</v>
      </c>
      <c r="B37" s="105"/>
      <c r="C37" s="105" t="s">
        <v>161</v>
      </c>
      <c r="D37" s="105"/>
      <c r="E37" s="105"/>
      <c r="F37" s="105"/>
      <c r="G37" s="105"/>
    </row>
    <row r="38" spans="1:7" ht="14.5" x14ac:dyDescent="0.35">
      <c r="A38" s="35" t="s">
        <v>121</v>
      </c>
      <c r="B38" s="35"/>
      <c r="C38" s="35"/>
      <c r="D38" s="35"/>
      <c r="E38" s="35"/>
      <c r="F38" s="35"/>
      <c r="G38" s="35"/>
    </row>
    <row r="39" spans="1:7" ht="14" x14ac:dyDescent="0.3">
      <c r="A39" s="39" t="s">
        <v>20</v>
      </c>
      <c r="B39" s="67">
        <f ca="1">NOW()</f>
        <v>44210.420844560183</v>
      </c>
      <c r="C39" s="35"/>
      <c r="D39" s="35"/>
      <c r="E39" s="35"/>
      <c r="F39" s="35"/>
      <c r="G39" s="35"/>
    </row>
  </sheetData>
  <phoneticPr fontId="3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I59"/>
  <sheetViews>
    <sheetView showGridLines="0" zoomScaleNormal="100" workbookViewId="0"/>
  </sheetViews>
  <sheetFormatPr defaultRowHeight="12.5" x14ac:dyDescent="0.25"/>
  <cols>
    <col min="1" max="2" width="11.7265625" customWidth="1"/>
    <col min="3" max="3" width="11.54296875" customWidth="1"/>
    <col min="4" max="4" width="13.7265625" customWidth="1"/>
    <col min="5" max="5" width="10.54296875" customWidth="1"/>
    <col min="6" max="7" width="10.7265625" customWidth="1"/>
    <col min="8" max="9" width="10.54296875" customWidth="1"/>
  </cols>
  <sheetData>
    <row r="1" spans="1:9" ht="14" x14ac:dyDescent="0.3">
      <c r="A1" s="34" t="s">
        <v>18</v>
      </c>
      <c r="B1" s="34"/>
      <c r="C1" s="34"/>
      <c r="D1" s="34"/>
      <c r="E1" s="34"/>
      <c r="F1" s="34"/>
      <c r="G1" s="34"/>
      <c r="H1" s="34"/>
      <c r="I1" s="35"/>
    </row>
    <row r="2" spans="1:9" ht="15.65" customHeight="1" x14ac:dyDescent="0.3">
      <c r="A2" s="106" t="s">
        <v>11</v>
      </c>
      <c r="B2" s="76" t="s">
        <v>38</v>
      </c>
      <c r="C2" s="76" t="s">
        <v>13</v>
      </c>
      <c r="D2" s="76" t="s">
        <v>79</v>
      </c>
      <c r="E2" s="107" t="s">
        <v>46</v>
      </c>
      <c r="F2" s="107" t="s">
        <v>39</v>
      </c>
      <c r="G2" s="76" t="s">
        <v>43</v>
      </c>
      <c r="H2" s="76" t="s">
        <v>122</v>
      </c>
      <c r="I2" s="108" t="s">
        <v>42</v>
      </c>
    </row>
    <row r="3" spans="1:9" ht="15.65" customHeight="1" x14ac:dyDescent="0.3">
      <c r="A3" s="80" t="s">
        <v>12</v>
      </c>
      <c r="B3" s="42" t="s">
        <v>123</v>
      </c>
      <c r="C3" s="42" t="s">
        <v>124</v>
      </c>
      <c r="D3" s="42" t="s">
        <v>125</v>
      </c>
      <c r="E3" s="42" t="s">
        <v>125</v>
      </c>
      <c r="F3" s="42" t="s">
        <v>126</v>
      </c>
      <c r="G3" s="42" t="s">
        <v>127</v>
      </c>
      <c r="H3" s="42"/>
      <c r="I3" s="42" t="s">
        <v>128</v>
      </c>
    </row>
    <row r="4" spans="1:9" ht="14.5" x14ac:dyDescent="0.35">
      <c r="A4" s="35"/>
      <c r="B4" s="54" t="s">
        <v>95</v>
      </c>
      <c r="C4" s="109"/>
      <c r="D4" s="109"/>
      <c r="E4" s="109"/>
      <c r="F4" s="109"/>
      <c r="G4" s="109"/>
      <c r="H4" s="109"/>
      <c r="I4" s="109"/>
    </row>
    <row r="5" spans="1:9" ht="14" x14ac:dyDescent="0.3">
      <c r="A5" s="35"/>
      <c r="B5" s="35"/>
      <c r="C5" s="35"/>
      <c r="D5" s="35"/>
      <c r="E5" s="35"/>
      <c r="F5" s="35"/>
      <c r="G5" s="35"/>
      <c r="H5" s="35"/>
      <c r="I5" s="35"/>
    </row>
    <row r="6" spans="1:9" ht="14" x14ac:dyDescent="0.3">
      <c r="A6" s="35" t="s">
        <v>48</v>
      </c>
      <c r="B6" s="98">
        <v>53.2</v>
      </c>
      <c r="C6" s="98">
        <v>54.5</v>
      </c>
      <c r="D6" s="98">
        <v>86.12</v>
      </c>
      <c r="E6" s="98">
        <v>58.68</v>
      </c>
      <c r="F6" s="98">
        <v>77.239999999999995</v>
      </c>
      <c r="G6" s="98">
        <v>60.76</v>
      </c>
      <c r="H6" s="98">
        <v>51.52</v>
      </c>
      <c r="I6" s="98">
        <v>51.34</v>
      </c>
    </row>
    <row r="7" spans="1:9" ht="14" x14ac:dyDescent="0.3">
      <c r="A7" s="35" t="s">
        <v>59</v>
      </c>
      <c r="B7" s="98">
        <v>51.9</v>
      </c>
      <c r="C7" s="98">
        <v>53.22</v>
      </c>
      <c r="D7" s="98">
        <v>83.2</v>
      </c>
      <c r="E7" s="98">
        <v>57.19</v>
      </c>
      <c r="F7" s="98">
        <v>100.15</v>
      </c>
      <c r="G7" s="98">
        <v>56.09</v>
      </c>
      <c r="H7" s="98">
        <v>48.11</v>
      </c>
      <c r="I7" s="98">
        <v>50.33</v>
      </c>
    </row>
    <row r="8" spans="1:9" ht="14" x14ac:dyDescent="0.3">
      <c r="A8" s="35" t="s">
        <v>80</v>
      </c>
      <c r="B8" s="98">
        <v>47.13</v>
      </c>
      <c r="C8" s="98">
        <v>48.6</v>
      </c>
      <c r="D8" s="98">
        <v>65.87</v>
      </c>
      <c r="E8" s="98">
        <v>56.17</v>
      </c>
      <c r="F8" s="98">
        <v>91.83</v>
      </c>
      <c r="G8" s="98">
        <v>46.66</v>
      </c>
      <c r="H8" s="98">
        <v>51.8</v>
      </c>
      <c r="I8" s="98">
        <v>43.24</v>
      </c>
    </row>
    <row r="9" spans="1:9" ht="14" x14ac:dyDescent="0.3">
      <c r="A9" s="35" t="s">
        <v>87</v>
      </c>
      <c r="B9" s="98">
        <v>38.229999999999997</v>
      </c>
      <c r="C9" s="98">
        <v>60.66</v>
      </c>
      <c r="D9" s="98">
        <v>59.12</v>
      </c>
      <c r="E9" s="98">
        <v>43.7</v>
      </c>
      <c r="F9" s="98">
        <v>68.23</v>
      </c>
      <c r="G9" s="98">
        <v>39.43</v>
      </c>
      <c r="H9" s="98">
        <v>43.93</v>
      </c>
      <c r="I9" s="98">
        <v>39.76</v>
      </c>
    </row>
    <row r="10" spans="1:9" ht="14" x14ac:dyDescent="0.3">
      <c r="A10" s="35" t="s">
        <v>90</v>
      </c>
      <c r="B10" s="98">
        <v>31.6</v>
      </c>
      <c r="C10" s="98">
        <v>45.74</v>
      </c>
      <c r="D10" s="98">
        <v>66.72</v>
      </c>
      <c r="E10" s="98">
        <v>37.81</v>
      </c>
      <c r="F10" s="98">
        <v>57.96</v>
      </c>
      <c r="G10" s="98">
        <v>37.479999999999997</v>
      </c>
      <c r="H10" s="98">
        <v>33.43</v>
      </c>
      <c r="I10" s="98">
        <v>31.36</v>
      </c>
    </row>
    <row r="11" spans="1:9" ht="14" x14ac:dyDescent="0.3">
      <c r="A11" s="35" t="s">
        <v>91</v>
      </c>
      <c r="B11" s="98">
        <v>29.86</v>
      </c>
      <c r="C11" s="98">
        <v>45.87</v>
      </c>
      <c r="D11" s="98">
        <v>57.81</v>
      </c>
      <c r="E11" s="98">
        <v>35.270000000000003</v>
      </c>
      <c r="F11" s="98">
        <v>58.26</v>
      </c>
      <c r="G11" s="98">
        <v>39.25</v>
      </c>
      <c r="H11" s="98">
        <v>32.229999999999997</v>
      </c>
      <c r="I11" s="98">
        <v>30.07</v>
      </c>
    </row>
    <row r="12" spans="1:9" ht="14" x14ac:dyDescent="0.3">
      <c r="A12" s="35" t="s">
        <v>106</v>
      </c>
      <c r="B12" s="98">
        <v>32.549999999999997</v>
      </c>
      <c r="C12" s="98">
        <v>40.92</v>
      </c>
      <c r="D12" s="98">
        <v>53.54</v>
      </c>
      <c r="E12" s="98">
        <v>38.729999999999997</v>
      </c>
      <c r="F12" s="98">
        <v>66.73</v>
      </c>
      <c r="G12" s="98">
        <v>37.43</v>
      </c>
      <c r="H12" s="98">
        <v>33.07</v>
      </c>
      <c r="I12" s="98">
        <v>34.75</v>
      </c>
    </row>
    <row r="13" spans="1:9" ht="14" x14ac:dyDescent="0.3">
      <c r="A13" s="35" t="s">
        <v>108</v>
      </c>
      <c r="B13" s="98">
        <v>30.04</v>
      </c>
      <c r="C13" s="98">
        <v>31.87</v>
      </c>
      <c r="D13" s="98">
        <v>54.57</v>
      </c>
      <c r="E13" s="98">
        <v>38.270000000000003</v>
      </c>
      <c r="F13" s="98">
        <v>66.72</v>
      </c>
      <c r="G13" s="98">
        <v>30.35</v>
      </c>
      <c r="H13" s="98">
        <v>34.159999999999997</v>
      </c>
      <c r="I13" s="98">
        <v>31.21</v>
      </c>
    </row>
    <row r="14" spans="1:9" ht="14" x14ac:dyDescent="0.3">
      <c r="A14" s="35" t="s">
        <v>141</v>
      </c>
      <c r="B14" s="98">
        <v>28.26</v>
      </c>
      <c r="C14" s="98">
        <v>35.14</v>
      </c>
      <c r="D14" s="98">
        <v>53.28</v>
      </c>
      <c r="E14" s="98">
        <v>36.090000000000003</v>
      </c>
      <c r="F14" s="98">
        <v>64.72</v>
      </c>
      <c r="G14" s="98">
        <v>26.93</v>
      </c>
      <c r="H14" s="98">
        <v>31.65</v>
      </c>
      <c r="I14" s="98">
        <v>33.11</v>
      </c>
    </row>
    <row r="15" spans="1:9" ht="16.5" x14ac:dyDescent="0.3">
      <c r="A15" s="35" t="s">
        <v>143</v>
      </c>
      <c r="B15" s="98">
        <v>29.67</v>
      </c>
      <c r="C15" s="98">
        <v>40.18</v>
      </c>
      <c r="D15" s="98">
        <v>65.03</v>
      </c>
      <c r="E15" s="98">
        <v>37.869999999999997</v>
      </c>
      <c r="F15" s="98">
        <v>65.569999999999993</v>
      </c>
      <c r="G15" s="98">
        <v>39.47</v>
      </c>
      <c r="H15" s="98">
        <v>35.75</v>
      </c>
      <c r="I15" s="98">
        <v>38.369999999999997</v>
      </c>
    </row>
    <row r="16" spans="1:9" ht="16.5" x14ac:dyDescent="0.3">
      <c r="A16" s="35" t="s">
        <v>157</v>
      </c>
      <c r="B16" s="98">
        <v>38.5</v>
      </c>
      <c r="C16" s="98">
        <v>54</v>
      </c>
      <c r="D16" s="98">
        <v>67.5</v>
      </c>
      <c r="E16" s="98">
        <v>49</v>
      </c>
      <c r="F16" s="98">
        <v>98.5</v>
      </c>
      <c r="G16" s="98">
        <v>42.5</v>
      </c>
      <c r="H16" s="98">
        <v>42</v>
      </c>
      <c r="I16" s="98">
        <v>37</v>
      </c>
    </row>
    <row r="17" spans="1:9" ht="14" x14ac:dyDescent="0.3">
      <c r="A17" s="35"/>
      <c r="B17" s="51"/>
      <c r="C17" s="101"/>
      <c r="D17" s="110"/>
      <c r="E17" s="110"/>
      <c r="F17" s="110"/>
      <c r="G17" s="110"/>
      <c r="H17" s="35"/>
      <c r="I17" s="35"/>
    </row>
    <row r="18" spans="1:9" ht="14" x14ac:dyDescent="0.3">
      <c r="A18" s="35" t="s">
        <v>145</v>
      </c>
      <c r="B18" s="98"/>
      <c r="C18" s="98"/>
      <c r="D18" s="98"/>
      <c r="E18" s="98"/>
      <c r="F18" s="98"/>
      <c r="G18" s="98"/>
      <c r="H18" s="98"/>
      <c r="I18" s="98"/>
    </row>
    <row r="19" spans="1:9" ht="14" x14ac:dyDescent="0.3">
      <c r="A19" s="38" t="s">
        <v>50</v>
      </c>
      <c r="B19" s="98">
        <v>30.14</v>
      </c>
      <c r="C19" s="98">
        <v>37.94</v>
      </c>
      <c r="D19" s="98">
        <v>56</v>
      </c>
      <c r="E19" s="98">
        <v>36.31</v>
      </c>
      <c r="F19" s="98">
        <v>61.5</v>
      </c>
      <c r="G19" s="98">
        <v>28.3</v>
      </c>
      <c r="H19" s="98" t="s">
        <v>10</v>
      </c>
      <c r="I19" s="98" t="s">
        <v>10</v>
      </c>
    </row>
    <row r="20" spans="1:9" ht="14" x14ac:dyDescent="0.3">
      <c r="A20" s="38" t="s">
        <v>51</v>
      </c>
      <c r="B20" s="98">
        <v>30.62</v>
      </c>
      <c r="C20" s="98">
        <v>38.4</v>
      </c>
      <c r="D20" s="98">
        <v>56</v>
      </c>
      <c r="E20" s="98">
        <v>36.15</v>
      </c>
      <c r="F20" s="98">
        <v>63.1</v>
      </c>
      <c r="G20" s="98">
        <v>30.36</v>
      </c>
      <c r="H20" s="98" t="s">
        <v>10</v>
      </c>
      <c r="I20" s="98">
        <v>35</v>
      </c>
    </row>
    <row r="21" spans="1:9" ht="14" x14ac:dyDescent="0.3">
      <c r="A21" s="38" t="s">
        <v>52</v>
      </c>
      <c r="B21" s="98">
        <v>32.270000000000003</v>
      </c>
      <c r="C21" s="98">
        <v>40.25</v>
      </c>
      <c r="D21" s="98">
        <v>76</v>
      </c>
      <c r="E21" s="98">
        <v>38.06</v>
      </c>
      <c r="F21" s="98">
        <v>60.13</v>
      </c>
      <c r="G21" s="98">
        <v>31.25</v>
      </c>
      <c r="H21" s="98" t="s">
        <v>10</v>
      </c>
      <c r="I21" s="98" t="s">
        <v>10</v>
      </c>
    </row>
    <row r="22" spans="1:9" ht="14" x14ac:dyDescent="0.3">
      <c r="A22" s="38" t="s">
        <v>53</v>
      </c>
      <c r="B22" s="98">
        <v>33.04</v>
      </c>
      <c r="C22" s="98">
        <v>40.1</v>
      </c>
      <c r="D22" s="98">
        <v>70</v>
      </c>
      <c r="E22" s="98">
        <v>37.9</v>
      </c>
      <c r="F22" s="98">
        <v>59</v>
      </c>
      <c r="G22" s="98">
        <v>33.299999999999997</v>
      </c>
      <c r="H22" s="98" t="s">
        <v>10</v>
      </c>
      <c r="I22" s="98">
        <v>36.14</v>
      </c>
    </row>
    <row r="23" spans="1:9" ht="14" x14ac:dyDescent="0.3">
      <c r="A23" s="38" t="s">
        <v>54</v>
      </c>
      <c r="B23" s="98">
        <v>30.26</v>
      </c>
      <c r="C23" s="98">
        <v>38.5</v>
      </c>
      <c r="D23" s="98">
        <v>70</v>
      </c>
      <c r="E23" s="98">
        <v>35.5</v>
      </c>
      <c r="F23" s="98">
        <v>59</v>
      </c>
      <c r="G23" s="98">
        <v>36</v>
      </c>
      <c r="H23" s="98" t="s">
        <v>10</v>
      </c>
      <c r="I23" s="98">
        <v>38.21</v>
      </c>
    </row>
    <row r="24" spans="1:9" ht="14" x14ac:dyDescent="0.3">
      <c r="A24" s="38" t="s">
        <v>55</v>
      </c>
      <c r="B24" s="98">
        <v>27.04</v>
      </c>
      <c r="C24" s="98">
        <v>36.19</v>
      </c>
      <c r="D24" s="98">
        <v>76</v>
      </c>
      <c r="E24" s="98">
        <v>32.880000000000003</v>
      </c>
      <c r="F24" s="98">
        <v>59.75</v>
      </c>
      <c r="G24" s="98">
        <v>36.94</v>
      </c>
      <c r="H24" s="98" t="s">
        <v>10</v>
      </c>
      <c r="I24" s="98">
        <v>35.5</v>
      </c>
    </row>
    <row r="25" spans="1:9" ht="14" x14ac:dyDescent="0.3">
      <c r="A25" s="38" t="s">
        <v>56</v>
      </c>
      <c r="B25" s="98">
        <v>25.69</v>
      </c>
      <c r="C25" s="98">
        <v>37.31</v>
      </c>
      <c r="D25" s="98">
        <v>76</v>
      </c>
      <c r="E25" s="98">
        <v>32.380000000000003</v>
      </c>
      <c r="F25" s="98">
        <v>59.5</v>
      </c>
      <c r="G25" s="98">
        <v>44.88</v>
      </c>
      <c r="H25" s="98">
        <v>32</v>
      </c>
      <c r="I25" s="98">
        <v>37.18</v>
      </c>
    </row>
    <row r="26" spans="1:9" ht="14" x14ac:dyDescent="0.3">
      <c r="A26" s="38" t="s">
        <v>57</v>
      </c>
      <c r="B26" s="98">
        <v>25.27</v>
      </c>
      <c r="C26" s="98">
        <v>37.200000000000003</v>
      </c>
      <c r="D26" s="98">
        <v>74</v>
      </c>
      <c r="E26" s="98">
        <v>32.4</v>
      </c>
      <c r="F26" s="98">
        <v>62.1</v>
      </c>
      <c r="G26" s="98">
        <v>47.64</v>
      </c>
      <c r="H26" s="98">
        <v>35.5</v>
      </c>
      <c r="I26" s="98">
        <v>43.95</v>
      </c>
    </row>
    <row r="27" spans="1:9" ht="14" x14ac:dyDescent="0.3">
      <c r="A27" s="38" t="s">
        <v>58</v>
      </c>
      <c r="B27" s="98">
        <v>26.61</v>
      </c>
      <c r="C27" s="98">
        <v>36.75</v>
      </c>
      <c r="D27" s="98">
        <v>56</v>
      </c>
      <c r="E27" s="98">
        <v>36.630000000000003</v>
      </c>
      <c r="F27" s="98">
        <v>84.75</v>
      </c>
      <c r="G27" s="98">
        <v>51.34</v>
      </c>
      <c r="H27" s="98">
        <v>36.5</v>
      </c>
      <c r="I27" s="98">
        <v>41.92</v>
      </c>
    </row>
    <row r="28" spans="1:9" ht="14" x14ac:dyDescent="0.3">
      <c r="A28" s="38" t="s">
        <v>60</v>
      </c>
      <c r="B28" s="98">
        <v>28.71</v>
      </c>
      <c r="C28" s="98">
        <v>43</v>
      </c>
      <c r="D28" s="98">
        <v>56.4</v>
      </c>
      <c r="E28" s="98">
        <v>40.5</v>
      </c>
      <c r="F28" s="98">
        <v>85</v>
      </c>
      <c r="G28" s="98">
        <v>45.45</v>
      </c>
      <c r="H28" s="98" t="s">
        <v>10</v>
      </c>
      <c r="I28" s="98">
        <v>39.43</v>
      </c>
    </row>
    <row r="29" spans="1:9" ht="14" x14ac:dyDescent="0.3">
      <c r="A29" s="38" t="s">
        <v>61</v>
      </c>
      <c r="B29" s="98">
        <v>32.130000000000003</v>
      </c>
      <c r="C29" s="98">
        <v>46.81</v>
      </c>
      <c r="D29" s="98">
        <v>57</v>
      </c>
      <c r="E29" s="98">
        <v>47.81</v>
      </c>
      <c r="F29" s="98">
        <v>90</v>
      </c>
      <c r="G29" s="98">
        <v>44.75</v>
      </c>
      <c r="H29" s="98">
        <v>39</v>
      </c>
      <c r="I29" s="98">
        <v>39.33</v>
      </c>
    </row>
    <row r="30" spans="1:9" ht="14" x14ac:dyDescent="0.3">
      <c r="A30" s="38" t="s">
        <v>63</v>
      </c>
      <c r="B30" s="98">
        <v>34.200000000000003</v>
      </c>
      <c r="C30" s="98">
        <v>49.69</v>
      </c>
      <c r="D30" s="98">
        <v>57</v>
      </c>
      <c r="E30" s="98">
        <v>47.94</v>
      </c>
      <c r="F30" s="98">
        <v>90</v>
      </c>
      <c r="G30" s="98">
        <v>43.38</v>
      </c>
      <c r="H30" s="98" t="s">
        <v>10</v>
      </c>
      <c r="I30" s="98">
        <v>37</v>
      </c>
    </row>
    <row r="31" spans="1:9" ht="14" x14ac:dyDescent="0.3">
      <c r="A31" s="38"/>
      <c r="B31" s="98"/>
      <c r="C31" s="98"/>
      <c r="D31" s="98"/>
      <c r="E31" s="98"/>
      <c r="F31" s="98"/>
      <c r="G31" s="98"/>
      <c r="H31" s="98"/>
      <c r="I31" s="98"/>
    </row>
    <row r="32" spans="1:9" ht="14" x14ac:dyDescent="0.3">
      <c r="A32" s="35" t="s">
        <v>168</v>
      </c>
      <c r="B32" s="98"/>
      <c r="C32" s="98"/>
      <c r="D32" s="98"/>
      <c r="E32" s="98"/>
      <c r="F32" s="98"/>
      <c r="G32" s="98"/>
      <c r="H32" s="98"/>
      <c r="I32" s="98"/>
    </row>
    <row r="33" spans="1:9" ht="14" x14ac:dyDescent="0.3">
      <c r="A33" s="38" t="s">
        <v>50</v>
      </c>
      <c r="B33" s="98">
        <v>33.92</v>
      </c>
      <c r="C33" s="98">
        <v>48.35</v>
      </c>
      <c r="D33" s="98">
        <v>57</v>
      </c>
      <c r="E33" s="98">
        <v>44.35</v>
      </c>
      <c r="F33" s="98">
        <v>93</v>
      </c>
      <c r="G33" s="98">
        <v>43.15</v>
      </c>
      <c r="H33" s="98" t="s">
        <v>10</v>
      </c>
      <c r="I33" s="98">
        <v>35.57</v>
      </c>
    </row>
    <row r="34" spans="1:9" ht="14" x14ac:dyDescent="0.3">
      <c r="A34" s="38" t="s">
        <v>51</v>
      </c>
      <c r="B34" s="98">
        <v>37.79</v>
      </c>
      <c r="C34" s="98">
        <v>54.44</v>
      </c>
      <c r="D34" s="98" t="s">
        <v>10</v>
      </c>
      <c r="E34" s="98">
        <v>49.5</v>
      </c>
      <c r="F34" s="98">
        <v>98.75</v>
      </c>
      <c r="G34" s="98">
        <v>42.53</v>
      </c>
      <c r="H34" s="98">
        <v>41</v>
      </c>
      <c r="I34" s="98">
        <v>33.5</v>
      </c>
    </row>
    <row r="35" spans="1:9" ht="14" x14ac:dyDescent="0.3">
      <c r="A35" s="34" t="s">
        <v>52</v>
      </c>
      <c r="B35" s="104">
        <v>40.85</v>
      </c>
      <c r="C35" s="104">
        <v>59.2</v>
      </c>
      <c r="D35" s="104" t="s">
        <v>10</v>
      </c>
      <c r="E35" s="104">
        <v>51.65</v>
      </c>
      <c r="F35" s="104">
        <v>100</v>
      </c>
      <c r="G35" s="104">
        <v>41.48</v>
      </c>
      <c r="H35" s="104">
        <v>41</v>
      </c>
      <c r="I35" s="104">
        <v>36.380000000000003</v>
      </c>
    </row>
    <row r="36" spans="1:9" ht="16.5" x14ac:dyDescent="0.3">
      <c r="A36" s="75" t="s">
        <v>137</v>
      </c>
      <c r="B36" s="111"/>
      <c r="C36" s="111"/>
      <c r="D36" s="111"/>
      <c r="E36" s="111"/>
      <c r="F36" s="111"/>
      <c r="G36" s="111"/>
      <c r="H36" s="111"/>
      <c r="I36" s="111"/>
    </row>
    <row r="37" spans="1:9" ht="16.5" x14ac:dyDescent="0.3">
      <c r="A37" s="35" t="s">
        <v>138</v>
      </c>
      <c r="B37" s="111"/>
      <c r="C37" s="111"/>
      <c r="D37" s="111"/>
      <c r="E37" s="111"/>
      <c r="F37" s="111"/>
      <c r="G37" s="111"/>
      <c r="H37" s="111"/>
      <c r="I37" s="111"/>
    </row>
    <row r="38" spans="1:9" ht="14.5" x14ac:dyDescent="0.35">
      <c r="A38" s="35" t="s">
        <v>160</v>
      </c>
      <c r="B38" s="35"/>
      <c r="C38" s="35"/>
      <c r="D38" s="35"/>
      <c r="E38" s="35"/>
      <c r="F38" s="111"/>
      <c r="G38" s="35"/>
      <c r="H38" s="35"/>
      <c r="I38" s="35"/>
    </row>
    <row r="39" spans="1:9" ht="14" x14ac:dyDescent="0.3">
      <c r="A39" s="39" t="s">
        <v>20</v>
      </c>
      <c r="B39" s="67">
        <f ca="1">NOW()</f>
        <v>44210.420844560183</v>
      </c>
      <c r="C39" s="35"/>
      <c r="D39" s="35"/>
      <c r="E39" s="35"/>
      <c r="F39" s="35"/>
      <c r="G39" s="35"/>
      <c r="H39" s="35"/>
      <c r="I39" s="35"/>
    </row>
    <row r="40" spans="1:9" ht="15.5" x14ac:dyDescent="0.35">
      <c r="C40" s="14"/>
      <c r="G40" s="14"/>
      <c r="H40" s="14"/>
      <c r="I40" s="14"/>
    </row>
    <row r="41" spans="1:9" ht="15.5" x14ac:dyDescent="0.35">
      <c r="C41" s="14"/>
      <c r="G41" s="14"/>
      <c r="H41" s="14"/>
      <c r="I41" s="14"/>
    </row>
    <row r="42" spans="1:9" ht="15.5" x14ac:dyDescent="0.35">
      <c r="C42" s="14"/>
      <c r="G42" s="14"/>
      <c r="H42" s="14"/>
      <c r="I42" s="14"/>
    </row>
    <row r="43" spans="1:9" ht="15.5" x14ac:dyDescent="0.35">
      <c r="C43" s="14"/>
      <c r="G43" s="14"/>
      <c r="H43" s="14"/>
      <c r="I43" s="14"/>
    </row>
    <row r="44" spans="1:9" ht="15.5" x14ac:dyDescent="0.35">
      <c r="C44" s="14"/>
      <c r="G44" s="14"/>
      <c r="H44" s="14"/>
      <c r="I44" s="14"/>
    </row>
    <row r="45" spans="1:9" ht="15.5" x14ac:dyDescent="0.35">
      <c r="C45" s="14"/>
      <c r="G45" s="14"/>
      <c r="H45" s="14"/>
      <c r="I45" s="14"/>
    </row>
    <row r="46" spans="1:9" ht="15.5" x14ac:dyDescent="0.35">
      <c r="C46" s="14"/>
      <c r="G46" s="14"/>
      <c r="H46" s="14"/>
      <c r="I46" s="14"/>
    </row>
    <row r="47" spans="1:9" ht="15.5" x14ac:dyDescent="0.35">
      <c r="C47" s="14"/>
      <c r="G47" s="14"/>
      <c r="H47" s="14"/>
      <c r="I47" s="14"/>
    </row>
    <row r="48" spans="1:9" ht="15.5" x14ac:dyDescent="0.35">
      <c r="C48" s="14"/>
      <c r="G48" s="14"/>
      <c r="H48" s="14"/>
      <c r="I48" s="14"/>
    </row>
    <row r="49" spans="3:9" ht="15.5" x14ac:dyDescent="0.35">
      <c r="C49" s="14"/>
      <c r="G49" s="14"/>
      <c r="H49" s="14"/>
      <c r="I49" s="14"/>
    </row>
    <row r="50" spans="3:9" ht="15.5" x14ac:dyDescent="0.35">
      <c r="C50" s="14"/>
      <c r="G50" s="14"/>
      <c r="H50" s="14"/>
      <c r="I50" s="14"/>
    </row>
    <row r="51" spans="3:9" ht="15.5" x14ac:dyDescent="0.35">
      <c r="C51" s="14"/>
      <c r="G51" s="14"/>
      <c r="H51" s="14"/>
      <c r="I51" s="14"/>
    </row>
    <row r="52" spans="3:9" ht="15.5" x14ac:dyDescent="0.35">
      <c r="C52" s="14"/>
      <c r="G52" s="14"/>
      <c r="H52" s="14"/>
      <c r="I52" s="14"/>
    </row>
    <row r="53" spans="3:9" ht="15.5" x14ac:dyDescent="0.35">
      <c r="C53" s="14"/>
      <c r="G53" s="14"/>
      <c r="H53" s="14"/>
      <c r="I53" s="14"/>
    </row>
    <row r="54" spans="3:9" ht="15.5" x14ac:dyDescent="0.35">
      <c r="C54" s="14"/>
      <c r="G54" s="14"/>
      <c r="H54" s="14"/>
      <c r="I54" s="14"/>
    </row>
    <row r="55" spans="3:9" ht="15.5" x14ac:dyDescent="0.35">
      <c r="C55" s="14"/>
      <c r="G55" s="14"/>
      <c r="H55" s="14"/>
      <c r="I55" s="14"/>
    </row>
    <row r="56" spans="3:9" ht="15.5" x14ac:dyDescent="0.35">
      <c r="C56" s="14"/>
      <c r="H56" s="14"/>
      <c r="I56" s="14"/>
    </row>
    <row r="57" spans="3:9" ht="15.5" x14ac:dyDescent="0.35">
      <c r="C57" s="14"/>
      <c r="H57" s="14"/>
      <c r="I57" s="14"/>
    </row>
    <row r="58" spans="3:9" ht="15.5" x14ac:dyDescent="0.35">
      <c r="C58" s="14"/>
      <c r="F58" s="16"/>
      <c r="H58" s="14"/>
      <c r="I58" s="14"/>
    </row>
    <row r="59" spans="3:9" ht="15.5" x14ac:dyDescent="0.35">
      <c r="F59" s="16"/>
      <c r="H59" s="14"/>
      <c r="I59" s="14"/>
    </row>
  </sheetData>
  <phoneticPr fontId="3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M51"/>
  <sheetViews>
    <sheetView showGridLines="0" zoomScaleNormal="100" workbookViewId="0">
      <selection activeCell="A6" sqref="A6:A16"/>
    </sheetView>
  </sheetViews>
  <sheetFormatPr defaultRowHeight="12.5" x14ac:dyDescent="0.25"/>
  <cols>
    <col min="1" max="1" width="11.7265625" customWidth="1"/>
    <col min="2" max="7" width="13.7265625" customWidth="1"/>
    <col min="8" max="8" width="10.08984375" bestFit="1" customWidth="1"/>
  </cols>
  <sheetData>
    <row r="1" spans="1:7" ht="14" x14ac:dyDescent="0.3">
      <c r="A1" s="34" t="s">
        <v>37</v>
      </c>
      <c r="B1" s="34"/>
      <c r="C1" s="34"/>
      <c r="D1" s="34"/>
      <c r="E1" s="34"/>
      <c r="F1" s="34"/>
      <c r="G1" s="34"/>
    </row>
    <row r="2" spans="1:7" ht="15.65" customHeight="1" x14ac:dyDescent="0.3">
      <c r="A2" s="38" t="s">
        <v>11</v>
      </c>
      <c r="B2" s="76" t="s">
        <v>38</v>
      </c>
      <c r="C2" s="112" t="s">
        <v>13</v>
      </c>
      <c r="D2" s="112" t="s">
        <v>79</v>
      </c>
      <c r="E2" s="112" t="s">
        <v>39</v>
      </c>
      <c r="F2" s="76" t="s">
        <v>40</v>
      </c>
      <c r="G2" s="37" t="s">
        <v>41</v>
      </c>
    </row>
    <row r="3" spans="1:7" ht="15.65" customHeight="1" x14ac:dyDescent="0.3">
      <c r="A3" s="34" t="s">
        <v>12</v>
      </c>
      <c r="B3" s="42" t="s">
        <v>129</v>
      </c>
      <c r="C3" s="42" t="s">
        <v>130</v>
      </c>
      <c r="D3" s="42" t="s">
        <v>131</v>
      </c>
      <c r="E3" s="42" t="s">
        <v>132</v>
      </c>
      <c r="F3" s="42" t="s">
        <v>133</v>
      </c>
      <c r="G3" s="42" t="s">
        <v>134</v>
      </c>
    </row>
    <row r="4" spans="1:7" ht="14.5" x14ac:dyDescent="0.35">
      <c r="A4" s="35"/>
      <c r="B4" s="54" t="s">
        <v>96</v>
      </c>
      <c r="C4" s="109"/>
      <c r="D4" s="109"/>
      <c r="E4" s="109"/>
      <c r="F4" s="109"/>
      <c r="G4" s="109"/>
    </row>
    <row r="5" spans="1:7" ht="14" x14ac:dyDescent="0.3">
      <c r="A5" s="35"/>
      <c r="B5" s="35"/>
      <c r="C5" s="35"/>
      <c r="D5" s="35"/>
      <c r="E5" s="35"/>
      <c r="F5" s="35"/>
      <c r="G5" s="35"/>
    </row>
    <row r="6" spans="1:7" ht="14" x14ac:dyDescent="0.3">
      <c r="A6" s="35" t="s">
        <v>48</v>
      </c>
      <c r="B6" s="98">
        <v>345.52</v>
      </c>
      <c r="C6" s="98">
        <v>273.83999999999997</v>
      </c>
      <c r="D6" s="98">
        <v>219.72</v>
      </c>
      <c r="E6" s="113" t="s">
        <v>10</v>
      </c>
      <c r="F6" s="98">
        <v>263.63</v>
      </c>
      <c r="G6" s="98">
        <v>240.65</v>
      </c>
    </row>
    <row r="7" spans="1:7" ht="14" x14ac:dyDescent="0.3">
      <c r="A7" s="35" t="s">
        <v>59</v>
      </c>
      <c r="B7" s="98">
        <v>393.53</v>
      </c>
      <c r="C7" s="98">
        <v>275.13</v>
      </c>
      <c r="D7" s="98">
        <v>246.75</v>
      </c>
      <c r="E7" s="113" t="s">
        <v>10</v>
      </c>
      <c r="F7" s="98">
        <v>307.58999999999997</v>
      </c>
      <c r="G7" s="98">
        <v>265.68</v>
      </c>
    </row>
    <row r="8" spans="1:7" ht="14" x14ac:dyDescent="0.3">
      <c r="A8" s="35" t="s">
        <v>80</v>
      </c>
      <c r="B8" s="98">
        <v>468.11</v>
      </c>
      <c r="C8" s="98">
        <v>331.52</v>
      </c>
      <c r="D8" s="98">
        <v>241.57</v>
      </c>
      <c r="E8" s="113" t="s">
        <v>10</v>
      </c>
      <c r="F8" s="98">
        <v>354.22</v>
      </c>
      <c r="G8" s="98">
        <v>329.31</v>
      </c>
    </row>
    <row r="9" spans="1:7" ht="14" x14ac:dyDescent="0.3">
      <c r="A9" s="35" t="s">
        <v>87</v>
      </c>
      <c r="B9" s="98">
        <v>489.94</v>
      </c>
      <c r="C9" s="98">
        <v>377.71</v>
      </c>
      <c r="D9" s="98">
        <v>238.87</v>
      </c>
      <c r="E9" s="113" t="s">
        <v>10</v>
      </c>
      <c r="F9" s="98">
        <v>359.7</v>
      </c>
      <c r="G9" s="98">
        <v>337.23</v>
      </c>
    </row>
    <row r="10" spans="1:7" ht="14" x14ac:dyDescent="0.3">
      <c r="A10" s="35" t="s">
        <v>90</v>
      </c>
      <c r="B10" s="98">
        <v>368.49</v>
      </c>
      <c r="C10" s="98">
        <v>304.27</v>
      </c>
      <c r="D10" s="98">
        <v>209.97</v>
      </c>
      <c r="E10" s="113" t="s">
        <v>10</v>
      </c>
      <c r="F10" s="98">
        <v>301.2</v>
      </c>
      <c r="G10" s="98">
        <v>256.58</v>
      </c>
    </row>
    <row r="11" spans="1:7" ht="14" x14ac:dyDescent="0.3">
      <c r="A11" s="35" t="s">
        <v>91</v>
      </c>
      <c r="B11" s="98">
        <v>324.56</v>
      </c>
      <c r="C11" s="98">
        <v>261.19</v>
      </c>
      <c r="D11" s="98">
        <v>153.16999999999999</v>
      </c>
      <c r="E11" s="113" t="s">
        <v>10</v>
      </c>
      <c r="F11" s="98">
        <v>262.2</v>
      </c>
      <c r="G11" s="98">
        <v>260.23</v>
      </c>
    </row>
    <row r="12" spans="1:7" ht="14" x14ac:dyDescent="0.3">
      <c r="A12" s="35" t="s">
        <v>106</v>
      </c>
      <c r="B12" s="98">
        <v>316.88</v>
      </c>
      <c r="C12" s="98">
        <v>208.61</v>
      </c>
      <c r="D12" s="98">
        <v>145.1</v>
      </c>
      <c r="E12" s="113" t="s">
        <v>10</v>
      </c>
      <c r="F12" s="98">
        <v>267.94</v>
      </c>
      <c r="G12" s="98">
        <v>282.49</v>
      </c>
    </row>
    <row r="13" spans="1:7" ht="14" x14ac:dyDescent="0.3">
      <c r="A13" s="35" t="s">
        <v>108</v>
      </c>
      <c r="B13" s="98">
        <v>345.02</v>
      </c>
      <c r="C13" s="98">
        <v>260.88</v>
      </c>
      <c r="D13" s="98">
        <v>173.53</v>
      </c>
      <c r="E13" s="113" t="s">
        <v>10</v>
      </c>
      <c r="F13" s="98">
        <v>291.14999999999998</v>
      </c>
      <c r="G13" s="98">
        <v>239.15</v>
      </c>
    </row>
    <row r="14" spans="1:7" ht="14" x14ac:dyDescent="0.3">
      <c r="A14" s="35" t="s">
        <v>141</v>
      </c>
      <c r="B14" s="98">
        <v>308.27999999999997</v>
      </c>
      <c r="C14" s="98">
        <v>228.64</v>
      </c>
      <c r="D14" s="119">
        <v>164.16</v>
      </c>
      <c r="E14" s="113" t="s">
        <v>10</v>
      </c>
      <c r="F14" s="98">
        <v>272.38</v>
      </c>
      <c r="G14" s="98">
        <v>225.77</v>
      </c>
    </row>
    <row r="15" spans="1:7" ht="16.5" x14ac:dyDescent="0.3">
      <c r="A15" s="35" t="s">
        <v>143</v>
      </c>
      <c r="B15" s="98">
        <v>299.5</v>
      </c>
      <c r="C15" s="98">
        <v>247.04</v>
      </c>
      <c r="D15" s="119">
        <v>187.7</v>
      </c>
      <c r="E15" s="113" t="s">
        <v>10</v>
      </c>
      <c r="F15" s="98">
        <v>273.99</v>
      </c>
      <c r="G15" s="98">
        <v>245.88</v>
      </c>
    </row>
    <row r="16" spans="1:7" ht="16.5" x14ac:dyDescent="0.3">
      <c r="A16" s="35" t="s">
        <v>157</v>
      </c>
      <c r="B16" s="98">
        <v>390</v>
      </c>
      <c r="C16" s="98">
        <v>340</v>
      </c>
      <c r="D16" s="119">
        <v>240</v>
      </c>
      <c r="E16" s="113" t="s">
        <v>10</v>
      </c>
      <c r="F16" s="98">
        <v>315</v>
      </c>
      <c r="G16" s="98">
        <v>255</v>
      </c>
    </row>
    <row r="17" spans="1:13" ht="14" x14ac:dyDescent="0.3">
      <c r="A17" s="114"/>
      <c r="B17" s="98"/>
      <c r="C17" s="98"/>
      <c r="D17" s="98"/>
      <c r="E17" s="113"/>
      <c r="F17" s="98"/>
      <c r="G17" s="98"/>
      <c r="H17" s="13"/>
    </row>
    <row r="18" spans="1:13" ht="14" x14ac:dyDescent="0.3">
      <c r="A18" s="35" t="s">
        <v>145</v>
      </c>
      <c r="B18" s="98"/>
      <c r="C18" s="98"/>
      <c r="D18" s="98"/>
      <c r="E18" s="113"/>
      <c r="F18" s="98"/>
      <c r="G18" s="98"/>
      <c r="I18" s="6"/>
      <c r="J18" s="6"/>
      <c r="K18" s="6"/>
      <c r="L18" s="6"/>
      <c r="M18" s="6"/>
    </row>
    <row r="19" spans="1:13" ht="14" x14ac:dyDescent="0.3">
      <c r="A19" s="35" t="s">
        <v>50</v>
      </c>
      <c r="B19" s="98">
        <v>309.48</v>
      </c>
      <c r="C19" s="98">
        <v>213.13</v>
      </c>
      <c r="D19" s="98">
        <v>169</v>
      </c>
      <c r="E19" s="113" t="s">
        <v>10</v>
      </c>
      <c r="F19" s="98">
        <v>267.89999999999998</v>
      </c>
      <c r="G19" s="98">
        <v>226.5</v>
      </c>
      <c r="I19" s="6"/>
      <c r="J19" s="6"/>
      <c r="K19" s="6"/>
      <c r="L19" s="6"/>
      <c r="M19" s="6"/>
    </row>
    <row r="20" spans="1:13" ht="14" x14ac:dyDescent="0.3">
      <c r="A20" s="35" t="s">
        <v>51</v>
      </c>
      <c r="B20" s="98">
        <v>303.13</v>
      </c>
      <c r="C20" s="98">
        <v>233.75</v>
      </c>
      <c r="D20" s="98">
        <v>166.88</v>
      </c>
      <c r="E20" s="113" t="s">
        <v>10</v>
      </c>
      <c r="F20" s="98" t="s">
        <v>10</v>
      </c>
      <c r="G20" s="98">
        <v>226.88</v>
      </c>
      <c r="I20" s="6"/>
      <c r="J20" s="6"/>
      <c r="K20" s="6"/>
      <c r="L20" s="6"/>
      <c r="M20" s="6"/>
    </row>
    <row r="21" spans="1:13" ht="14" x14ac:dyDescent="0.3">
      <c r="A21" s="35" t="s">
        <v>52</v>
      </c>
      <c r="B21" s="98">
        <v>299.58999999999997</v>
      </c>
      <c r="C21" s="98">
        <v>250.83</v>
      </c>
      <c r="D21" s="98">
        <v>180</v>
      </c>
      <c r="E21" s="113" t="s">
        <v>10</v>
      </c>
      <c r="F21" s="98" t="s">
        <v>10</v>
      </c>
      <c r="G21" s="98">
        <f>(235+227.5+232.5)/3</f>
        <v>231.66666666666666</v>
      </c>
      <c r="I21" s="6"/>
      <c r="J21" s="6"/>
      <c r="K21" s="6"/>
      <c r="L21" s="6"/>
      <c r="M21" s="6"/>
    </row>
    <row r="22" spans="1:13" ht="14" x14ac:dyDescent="0.3">
      <c r="A22" s="35" t="s">
        <v>53</v>
      </c>
      <c r="B22" s="98">
        <v>300.11</v>
      </c>
      <c r="C22" s="98">
        <v>239.38</v>
      </c>
      <c r="D22" s="98">
        <v>185</v>
      </c>
      <c r="E22" s="113" t="s">
        <v>10</v>
      </c>
      <c r="F22" s="98" t="s">
        <v>10</v>
      </c>
      <c r="G22" s="98">
        <v>248.13</v>
      </c>
      <c r="I22" s="6"/>
      <c r="J22" s="6"/>
      <c r="K22" s="6"/>
      <c r="L22" s="6"/>
      <c r="M22" s="6"/>
    </row>
    <row r="23" spans="1:13" ht="14" x14ac:dyDescent="0.3">
      <c r="A23" s="35" t="s">
        <v>54</v>
      </c>
      <c r="B23" s="98">
        <v>295.27999999999997</v>
      </c>
      <c r="C23" s="98">
        <v>250.63</v>
      </c>
      <c r="D23" s="98">
        <v>188.13</v>
      </c>
      <c r="E23" s="113" t="s">
        <v>10</v>
      </c>
      <c r="F23" s="98">
        <v>253.67</v>
      </c>
      <c r="G23" s="98">
        <v>262.5</v>
      </c>
      <c r="I23" s="6"/>
      <c r="J23" s="6"/>
      <c r="K23" s="6"/>
      <c r="L23" s="6"/>
      <c r="M23" s="6"/>
    </row>
    <row r="24" spans="1:13" ht="14" x14ac:dyDescent="0.3">
      <c r="A24" s="35" t="s">
        <v>55</v>
      </c>
      <c r="B24" s="98">
        <v>312.38</v>
      </c>
      <c r="C24" s="98">
        <v>259</v>
      </c>
      <c r="D24" s="98">
        <v>180</v>
      </c>
      <c r="E24" s="113" t="s">
        <v>10</v>
      </c>
      <c r="F24" s="98">
        <v>274.75</v>
      </c>
      <c r="G24" s="98">
        <v>263</v>
      </c>
      <c r="I24" s="6"/>
      <c r="J24" s="6"/>
      <c r="K24" s="6"/>
      <c r="L24" s="6"/>
      <c r="M24" s="6"/>
    </row>
    <row r="25" spans="1:13" ht="14" x14ac:dyDescent="0.3">
      <c r="A25" s="35" t="s">
        <v>56</v>
      </c>
      <c r="B25" s="98">
        <v>295.39999999999998</v>
      </c>
      <c r="C25" s="98">
        <v>281.88</v>
      </c>
      <c r="D25" s="98">
        <v>183.75</v>
      </c>
      <c r="E25" s="113" t="s">
        <v>10</v>
      </c>
      <c r="F25" s="98">
        <v>274.52999999999997</v>
      </c>
      <c r="G25" s="98">
        <v>260</v>
      </c>
      <c r="I25" s="6"/>
      <c r="J25" s="6"/>
      <c r="K25" s="6"/>
      <c r="L25" s="6"/>
      <c r="M25" s="6"/>
    </row>
    <row r="26" spans="1:13" ht="14" x14ac:dyDescent="0.3">
      <c r="A26" s="35" t="s">
        <v>57</v>
      </c>
      <c r="B26" s="98">
        <v>288.56</v>
      </c>
      <c r="C26" s="98">
        <v>251.88</v>
      </c>
      <c r="D26" s="98">
        <v>180.63</v>
      </c>
      <c r="E26" s="113" t="s">
        <v>10</v>
      </c>
      <c r="F26" s="98">
        <v>276.25</v>
      </c>
      <c r="G26" s="98">
        <v>257.5</v>
      </c>
      <c r="I26" s="6"/>
      <c r="J26" s="6"/>
      <c r="K26" s="6"/>
      <c r="L26" s="6"/>
      <c r="M26" s="6"/>
    </row>
    <row r="27" spans="1:13" ht="14" x14ac:dyDescent="0.3">
      <c r="A27" s="35" t="s">
        <v>58</v>
      </c>
      <c r="B27" s="98">
        <v>288.66000000000003</v>
      </c>
      <c r="C27" s="98">
        <v>245.5</v>
      </c>
      <c r="D27" s="98">
        <v>187.5</v>
      </c>
      <c r="E27" s="113" t="s">
        <v>10</v>
      </c>
      <c r="F27" s="98">
        <v>270.02999999999997</v>
      </c>
      <c r="G27" s="98">
        <v>245.63</v>
      </c>
      <c r="I27" s="6"/>
      <c r="J27" s="6"/>
      <c r="K27" s="6"/>
      <c r="L27" s="6"/>
      <c r="M27" s="6"/>
    </row>
    <row r="28" spans="1:13" ht="14" x14ac:dyDescent="0.3">
      <c r="A28" s="35" t="s">
        <v>60</v>
      </c>
      <c r="B28" s="98">
        <v>291.25</v>
      </c>
      <c r="C28" s="98">
        <v>245</v>
      </c>
      <c r="D28" s="98">
        <v>202.5</v>
      </c>
      <c r="E28" s="113" t="s">
        <v>10</v>
      </c>
      <c r="F28" s="98">
        <v>271.11</v>
      </c>
      <c r="G28" s="98">
        <v>250</v>
      </c>
      <c r="I28" s="6"/>
      <c r="J28" s="6"/>
      <c r="K28" s="6"/>
      <c r="L28" s="6"/>
      <c r="M28" s="6"/>
    </row>
    <row r="29" spans="1:13" ht="14" x14ac:dyDescent="0.3">
      <c r="A29" s="35" t="s">
        <v>61</v>
      </c>
      <c r="B29" s="98">
        <v>290.18</v>
      </c>
      <c r="C29" s="98">
        <v>245</v>
      </c>
      <c r="D29" s="98">
        <v>217.5</v>
      </c>
      <c r="E29" s="113" t="s">
        <v>10</v>
      </c>
      <c r="F29" s="98">
        <v>281.08999999999997</v>
      </c>
      <c r="G29" s="98">
        <v>251.75</v>
      </c>
      <c r="I29" s="6"/>
      <c r="J29" s="6"/>
      <c r="K29" s="6"/>
      <c r="L29" s="6"/>
      <c r="M29" s="6"/>
    </row>
    <row r="30" spans="1:13" ht="14" x14ac:dyDescent="0.3">
      <c r="A30" s="35" t="s">
        <v>63</v>
      </c>
      <c r="B30" s="98">
        <v>319.99</v>
      </c>
      <c r="C30" s="98">
        <v>248.5</v>
      </c>
      <c r="D30" s="98">
        <v>211.5</v>
      </c>
      <c r="E30" s="113" t="s">
        <v>10</v>
      </c>
      <c r="F30" s="98">
        <v>296.60000000000002</v>
      </c>
      <c r="G30" s="98">
        <v>227</v>
      </c>
      <c r="I30" s="6"/>
      <c r="J30" s="6"/>
      <c r="K30" s="6"/>
      <c r="L30" s="6"/>
      <c r="M30" s="6"/>
    </row>
    <row r="31" spans="1:13" ht="14" x14ac:dyDescent="0.3">
      <c r="A31" s="38"/>
      <c r="B31" s="98"/>
      <c r="C31" s="98"/>
      <c r="D31" s="98"/>
      <c r="E31" s="113"/>
      <c r="F31" s="98"/>
      <c r="G31" s="98"/>
      <c r="I31" s="6"/>
      <c r="J31" s="6"/>
      <c r="K31" s="6"/>
      <c r="L31" s="6"/>
      <c r="M31" s="6"/>
    </row>
    <row r="32" spans="1:13" ht="14" x14ac:dyDescent="0.3">
      <c r="A32" s="35" t="s">
        <v>168</v>
      </c>
      <c r="B32" s="98"/>
      <c r="C32" s="98"/>
      <c r="D32" s="98"/>
      <c r="E32" s="113"/>
      <c r="F32" s="98"/>
      <c r="G32" s="98"/>
      <c r="I32" s="6"/>
      <c r="J32" s="6"/>
      <c r="K32" s="6"/>
      <c r="L32" s="6"/>
      <c r="M32" s="6"/>
    </row>
    <row r="33" spans="1:13" ht="14" x14ac:dyDescent="0.3">
      <c r="A33" s="35" t="s">
        <v>50</v>
      </c>
      <c r="B33" s="98">
        <v>366.62</v>
      </c>
      <c r="C33" s="98">
        <v>301.88</v>
      </c>
      <c r="D33" s="98">
        <v>211.25</v>
      </c>
      <c r="E33" s="113" t="s">
        <v>10</v>
      </c>
      <c r="F33" s="98">
        <v>327.24</v>
      </c>
      <c r="G33" s="98">
        <v>239.38</v>
      </c>
      <c r="I33" s="6"/>
      <c r="J33" s="6"/>
      <c r="K33" s="6"/>
      <c r="L33" s="6"/>
      <c r="M33" s="6"/>
    </row>
    <row r="34" spans="1:13" ht="14" x14ac:dyDescent="0.3">
      <c r="A34" s="35" t="s">
        <v>51</v>
      </c>
      <c r="B34" s="98">
        <v>387.83</v>
      </c>
      <c r="C34" s="98">
        <v>365.63</v>
      </c>
      <c r="D34" s="98">
        <v>213.13</v>
      </c>
      <c r="E34" s="113" t="s">
        <v>10</v>
      </c>
      <c r="F34" s="98">
        <v>297.64999999999998</v>
      </c>
      <c r="G34" s="98">
        <v>253.75</v>
      </c>
      <c r="I34" s="6"/>
      <c r="J34" s="6"/>
      <c r="K34" s="6"/>
      <c r="L34" s="6"/>
      <c r="M34" s="6"/>
    </row>
    <row r="35" spans="1:13" ht="14" x14ac:dyDescent="0.3">
      <c r="A35" s="34" t="s">
        <v>52</v>
      </c>
      <c r="B35" s="104">
        <v>396.68</v>
      </c>
      <c r="C35" s="104">
        <v>425</v>
      </c>
      <c r="D35" s="104">
        <v>252.5</v>
      </c>
      <c r="E35" s="115" t="s">
        <v>10</v>
      </c>
      <c r="F35" s="104">
        <v>296.2</v>
      </c>
      <c r="G35" s="104">
        <v>275</v>
      </c>
      <c r="I35" s="6"/>
      <c r="J35" s="6"/>
      <c r="K35" s="6"/>
      <c r="L35" s="6"/>
      <c r="M35" s="6"/>
    </row>
    <row r="36" spans="1:13" ht="16.5" x14ac:dyDescent="0.3">
      <c r="A36" s="75" t="s">
        <v>139</v>
      </c>
      <c r="B36" s="116"/>
      <c r="C36" s="116"/>
      <c r="D36" s="116"/>
      <c r="E36" s="116"/>
      <c r="F36" s="116"/>
      <c r="G36" s="116"/>
      <c r="I36" s="11"/>
      <c r="J36" s="6"/>
      <c r="K36" s="6"/>
      <c r="L36" s="6"/>
      <c r="M36" s="6"/>
    </row>
    <row r="37" spans="1:13" ht="16.5" x14ac:dyDescent="0.3">
      <c r="A37" s="75" t="s">
        <v>135</v>
      </c>
      <c r="B37" s="117"/>
      <c r="C37" s="117"/>
      <c r="D37" s="117"/>
      <c r="E37" s="117"/>
      <c r="F37" s="117"/>
      <c r="G37" s="117"/>
      <c r="I37" s="11"/>
      <c r="J37" s="6"/>
      <c r="K37" s="6"/>
      <c r="L37" s="6"/>
      <c r="M37" s="6"/>
    </row>
    <row r="38" spans="1:13" ht="14" x14ac:dyDescent="0.3">
      <c r="A38" s="35" t="s">
        <v>49</v>
      </c>
      <c r="B38" s="117"/>
      <c r="C38" s="117"/>
      <c r="D38" s="117"/>
      <c r="E38" s="117"/>
      <c r="F38" s="117"/>
      <c r="G38" s="117"/>
      <c r="H38" s="1"/>
      <c r="I38" s="11"/>
      <c r="J38" s="6"/>
      <c r="K38" s="6"/>
      <c r="L38" s="6"/>
      <c r="M38" s="6"/>
    </row>
    <row r="39" spans="1:13" ht="14.5" x14ac:dyDescent="0.35">
      <c r="A39" s="35" t="s">
        <v>136</v>
      </c>
      <c r="B39" s="35"/>
      <c r="C39" s="35"/>
      <c r="D39" s="35"/>
      <c r="E39" s="35"/>
      <c r="F39" s="117"/>
      <c r="G39" s="117"/>
      <c r="I39" s="11"/>
      <c r="J39" s="6"/>
      <c r="K39" s="6"/>
      <c r="L39" s="6"/>
      <c r="M39" s="6"/>
    </row>
    <row r="40" spans="1:13" ht="14" x14ac:dyDescent="0.3">
      <c r="A40" s="39" t="s">
        <v>20</v>
      </c>
      <c r="B40" s="67">
        <f ca="1">NOW()</f>
        <v>44210.420844560183</v>
      </c>
      <c r="C40" s="35"/>
      <c r="D40" s="35"/>
      <c r="E40" s="35"/>
      <c r="F40" s="117"/>
      <c r="G40" s="117"/>
      <c r="I40" s="12"/>
      <c r="J40" s="8"/>
      <c r="K40" s="8"/>
      <c r="L40" s="8"/>
      <c r="M40" s="8"/>
    </row>
    <row r="41" spans="1:13" ht="14" x14ac:dyDescent="0.3">
      <c r="F41" s="117"/>
      <c r="G41" s="117"/>
      <c r="I41" s="12"/>
      <c r="J41" s="8"/>
      <c r="K41" s="8"/>
      <c r="L41" s="8"/>
      <c r="M41" s="8"/>
    </row>
    <row r="42" spans="1:13" ht="14" x14ac:dyDescent="0.3">
      <c r="F42" s="117"/>
      <c r="G42" s="117"/>
      <c r="I42" s="11"/>
      <c r="J42" s="11"/>
      <c r="K42" s="6"/>
      <c r="L42" s="6"/>
      <c r="M42" s="6"/>
    </row>
    <row r="43" spans="1:13" x14ac:dyDescent="0.25">
      <c r="I43" s="11"/>
      <c r="J43" s="11"/>
      <c r="K43" s="6"/>
      <c r="L43" s="6"/>
      <c r="M43" s="6"/>
    </row>
    <row r="44" spans="1:13" x14ac:dyDescent="0.25">
      <c r="I44" s="11"/>
      <c r="J44" s="11"/>
      <c r="K44" s="6"/>
      <c r="L44" s="6"/>
      <c r="M44" s="6"/>
    </row>
    <row r="45" spans="1:13" x14ac:dyDescent="0.25">
      <c r="I45" s="11"/>
      <c r="J45" s="11"/>
      <c r="K45" s="6"/>
      <c r="L45" s="6"/>
      <c r="M45" s="6"/>
    </row>
    <row r="46" spans="1:13" x14ac:dyDescent="0.25">
      <c r="I46" s="11"/>
      <c r="J46" s="11"/>
      <c r="K46" s="6"/>
      <c r="L46" s="6"/>
      <c r="M46" s="6"/>
    </row>
    <row r="47" spans="1:13" x14ac:dyDescent="0.25">
      <c r="I47" s="11"/>
      <c r="J47" s="11"/>
      <c r="K47" s="6"/>
      <c r="L47" s="6"/>
      <c r="M47" s="6"/>
    </row>
    <row r="49" spans="9:13" x14ac:dyDescent="0.25">
      <c r="I49" s="9"/>
      <c r="J49" s="9"/>
      <c r="K49" s="9"/>
      <c r="L49" s="9"/>
      <c r="M49" s="9"/>
    </row>
    <row r="50" spans="9:13" x14ac:dyDescent="0.25">
      <c r="I50" s="9"/>
      <c r="J50" s="9"/>
      <c r="K50" s="9"/>
      <c r="L50" s="9"/>
      <c r="M50" s="9"/>
    </row>
    <row r="51" spans="9:13" x14ac:dyDescent="0.25">
      <c r="J51" s="9"/>
    </row>
  </sheetData>
  <phoneticPr fontId="3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F529-9D03-4A2D-A5A1-6CC2E08FAAE7}">
  <dimension ref="A1:O237"/>
  <sheetViews>
    <sheetView workbookViewId="0">
      <selection activeCell="A3" sqref="A3"/>
    </sheetView>
  </sheetViews>
  <sheetFormatPr defaultRowHeight="15.5" x14ac:dyDescent="0.35"/>
  <cols>
    <col min="1" max="1" width="17" style="35" customWidth="1"/>
    <col min="2" max="2" width="10.7265625" style="157" customWidth="1"/>
    <col min="3" max="6" width="10.7265625" style="146" customWidth="1"/>
    <col min="7" max="7" width="10.7265625" style="1" customWidth="1"/>
    <col min="9" max="9" width="10.7265625" style="16" bestFit="1" customWidth="1"/>
  </cols>
  <sheetData>
    <row r="1" spans="1:15" ht="14" x14ac:dyDescent="0.3">
      <c r="A1" s="35" t="s">
        <v>174</v>
      </c>
      <c r="B1" s="35" t="s">
        <v>141</v>
      </c>
      <c r="C1" s="35" t="s">
        <v>145</v>
      </c>
      <c r="D1" s="35" t="s">
        <v>168</v>
      </c>
      <c r="E1" s="129"/>
      <c r="F1" s="129"/>
      <c r="H1" s="129"/>
      <c r="I1" s="120"/>
      <c r="L1" s="10"/>
      <c r="M1" s="18"/>
    </row>
    <row r="2" spans="1:15" x14ac:dyDescent="0.35">
      <c r="C2" s="154"/>
      <c r="D2" s="129"/>
      <c r="E2" s="129"/>
      <c r="F2" s="129"/>
      <c r="I2" s="35"/>
    </row>
    <row r="3" spans="1:15" x14ac:dyDescent="0.35">
      <c r="B3" s="157" t="s">
        <v>175</v>
      </c>
      <c r="D3" s="35"/>
      <c r="F3" s="35"/>
      <c r="H3" s="129"/>
      <c r="I3"/>
    </row>
    <row r="4" spans="1:15" x14ac:dyDescent="0.35">
      <c r="A4" s="156" t="s">
        <v>52</v>
      </c>
      <c r="B4" s="157">
        <v>3745.8240000000001</v>
      </c>
      <c r="C4" s="157">
        <v>3252.4879999999998</v>
      </c>
      <c r="D4" s="158">
        <v>2933.3220000000001</v>
      </c>
      <c r="E4" s="50"/>
      <c r="F4" s="50"/>
      <c r="H4" s="137"/>
      <c r="I4" s="124"/>
      <c r="L4" s="126"/>
      <c r="M4" s="127"/>
    </row>
    <row r="5" spans="1:15" x14ac:dyDescent="0.35">
      <c r="A5" s="156" t="s">
        <v>55</v>
      </c>
      <c r="B5" s="157">
        <v>2727.069</v>
      </c>
      <c r="C5" s="157">
        <v>2254.8820000000001</v>
      </c>
      <c r="D5" s="157"/>
      <c r="E5" s="158"/>
      <c r="F5" s="50"/>
      <c r="H5" s="137"/>
      <c r="I5" s="124"/>
      <c r="L5" s="126"/>
      <c r="M5" s="127"/>
    </row>
    <row r="6" spans="1:15" x14ac:dyDescent="0.35">
      <c r="A6" s="156" t="s">
        <v>176</v>
      </c>
      <c r="B6" s="157">
        <v>1783.08</v>
      </c>
      <c r="C6" s="157">
        <v>1381.394</v>
      </c>
      <c r="D6" s="157"/>
      <c r="E6" s="157"/>
      <c r="F6" s="50"/>
      <c r="H6" s="137"/>
      <c r="I6" s="124"/>
      <c r="L6" s="126"/>
      <c r="M6" s="127"/>
    </row>
    <row r="7" spans="1:15" x14ac:dyDescent="0.35">
      <c r="A7" s="156" t="s">
        <v>63</v>
      </c>
      <c r="B7" s="157">
        <v>909.05200000000002</v>
      </c>
      <c r="C7" s="157">
        <v>524.54100000000005</v>
      </c>
      <c r="D7" s="157"/>
      <c r="E7" s="157"/>
      <c r="F7" s="50"/>
      <c r="H7" s="137"/>
      <c r="I7" s="124"/>
      <c r="L7" s="126"/>
      <c r="M7" s="127"/>
    </row>
    <row r="8" spans="1:15" x14ac:dyDescent="0.35">
      <c r="A8" s="156"/>
      <c r="C8" s="157"/>
      <c r="D8" s="157"/>
      <c r="E8" s="157"/>
      <c r="F8" s="50"/>
      <c r="H8" s="137"/>
      <c r="I8" s="124"/>
      <c r="L8" s="126"/>
      <c r="M8" s="127"/>
    </row>
    <row r="9" spans="1:15" x14ac:dyDescent="0.35">
      <c r="A9" s="156"/>
      <c r="C9" s="157"/>
      <c r="D9" s="157"/>
      <c r="E9" s="157"/>
      <c r="F9" s="50"/>
      <c r="H9" s="137"/>
      <c r="I9" s="124"/>
      <c r="K9" s="127"/>
      <c r="L9" s="126"/>
      <c r="M9" s="127"/>
    </row>
    <row r="10" spans="1:15" x14ac:dyDescent="0.35">
      <c r="A10" s="156"/>
      <c r="C10" s="153"/>
      <c r="D10" s="153"/>
      <c r="E10" s="152"/>
      <c r="H10" s="137"/>
      <c r="I10" s="124"/>
      <c r="K10" s="127"/>
      <c r="L10" s="126"/>
      <c r="M10" s="127"/>
    </row>
    <row r="11" spans="1:15" x14ac:dyDescent="0.35">
      <c r="A11" s="156"/>
      <c r="C11" s="153"/>
      <c r="D11" s="153"/>
      <c r="E11" s="152"/>
      <c r="H11" s="137"/>
      <c r="I11" s="124"/>
      <c r="K11" s="127"/>
      <c r="L11" s="126"/>
    </row>
    <row r="12" spans="1:15" x14ac:dyDescent="0.35">
      <c r="A12" s="156"/>
      <c r="C12" s="153"/>
      <c r="D12" s="153"/>
      <c r="E12" s="152"/>
      <c r="H12" s="137"/>
      <c r="I12" s="124"/>
      <c r="K12" s="127"/>
      <c r="L12" s="126"/>
    </row>
    <row r="13" spans="1:15" x14ac:dyDescent="0.35">
      <c r="A13" s="156"/>
      <c r="C13" s="153"/>
      <c r="D13" s="153"/>
      <c r="E13" s="152"/>
      <c r="H13" s="137"/>
      <c r="I13" s="124"/>
      <c r="K13" s="127"/>
      <c r="L13" s="126"/>
    </row>
    <row r="14" spans="1:15" x14ac:dyDescent="0.35">
      <c r="A14" s="156"/>
      <c r="C14" s="153"/>
      <c r="D14" s="153"/>
      <c r="E14" s="152"/>
      <c r="H14" s="137"/>
      <c r="I14" s="124"/>
      <c r="K14" s="127"/>
      <c r="L14" s="126"/>
    </row>
    <row r="15" spans="1:15" x14ac:dyDescent="0.35">
      <c r="A15" s="156"/>
      <c r="C15" s="153"/>
      <c r="D15" s="153"/>
      <c r="E15" s="152"/>
      <c r="H15" s="137"/>
      <c r="I15" s="127"/>
      <c r="K15" s="127"/>
    </row>
    <row r="16" spans="1:15" x14ac:dyDescent="0.35">
      <c r="A16" s="156"/>
      <c r="C16" s="153"/>
      <c r="D16" s="153"/>
      <c r="E16" s="152"/>
      <c r="H16" s="125"/>
      <c r="I16" s="127"/>
      <c r="M16" s="124"/>
      <c r="N16" s="124"/>
      <c r="O16" s="124"/>
    </row>
    <row r="17" spans="1:14" x14ac:dyDescent="0.35">
      <c r="A17" s="156"/>
      <c r="C17" s="150"/>
      <c r="D17" s="150"/>
      <c r="E17" s="150"/>
      <c r="F17" s="150"/>
      <c r="G17" s="150"/>
      <c r="H17" s="125"/>
      <c r="I17" s="127"/>
      <c r="M17" s="13"/>
      <c r="N17" s="13"/>
    </row>
    <row r="18" spans="1:14" x14ac:dyDescent="0.35">
      <c r="A18" s="156"/>
      <c r="C18" s="150"/>
      <c r="D18" s="150"/>
      <c r="E18" s="150"/>
      <c r="F18" s="150"/>
      <c r="G18" s="150"/>
      <c r="H18" s="125"/>
      <c r="I18" s="127"/>
      <c r="K18" s="126"/>
      <c r="L18" s="126"/>
      <c r="M18" s="13"/>
      <c r="N18" s="13"/>
    </row>
    <row r="19" spans="1:14" x14ac:dyDescent="0.35">
      <c r="A19" s="156"/>
      <c r="C19" s="150"/>
      <c r="D19" s="150"/>
      <c r="E19" s="150"/>
      <c r="F19" s="150"/>
      <c r="G19" s="150"/>
      <c r="H19" s="125"/>
      <c r="I19" s="127"/>
      <c r="K19" s="9"/>
      <c r="L19" s="126"/>
      <c r="M19" s="13"/>
      <c r="N19" s="13"/>
    </row>
    <row r="20" spans="1:14" x14ac:dyDescent="0.35">
      <c r="A20" s="156"/>
      <c r="C20" s="150"/>
      <c r="D20" s="150"/>
      <c r="E20" s="150"/>
      <c r="F20" s="150"/>
      <c r="G20" s="150"/>
      <c r="H20" s="125"/>
      <c r="I20" s="127"/>
      <c r="K20" s="9"/>
      <c r="L20" s="126"/>
      <c r="M20" s="13"/>
      <c r="N20" s="13"/>
    </row>
    <row r="21" spans="1:14" x14ac:dyDescent="0.35">
      <c r="A21" s="156"/>
      <c r="C21" s="150"/>
      <c r="D21" s="150"/>
      <c r="E21" s="150"/>
      <c r="F21" s="150"/>
      <c r="G21" s="150"/>
      <c r="H21" s="125"/>
      <c r="I21" s="127"/>
      <c r="K21" s="9"/>
      <c r="L21" s="126"/>
      <c r="M21" s="13"/>
      <c r="N21" s="13"/>
    </row>
    <row r="22" spans="1:14" x14ac:dyDescent="0.35">
      <c r="A22" s="156"/>
      <c r="C22" s="150"/>
      <c r="D22" s="150"/>
      <c r="E22" s="150"/>
      <c r="F22" s="150"/>
      <c r="G22" s="150"/>
      <c r="H22" s="125"/>
      <c r="I22" s="127"/>
      <c r="K22" s="9"/>
      <c r="L22" s="126"/>
      <c r="M22" s="13"/>
      <c r="N22" s="13"/>
    </row>
    <row r="23" spans="1:14" x14ac:dyDescent="0.35">
      <c r="A23" s="156"/>
      <c r="C23" s="150"/>
      <c r="D23" s="150"/>
      <c r="E23" s="150"/>
      <c r="F23" s="150"/>
      <c r="G23" s="150"/>
      <c r="H23" s="125"/>
      <c r="I23" s="9"/>
      <c r="K23" s="9"/>
      <c r="L23" s="126"/>
      <c r="M23" s="13"/>
      <c r="N23" s="13"/>
    </row>
    <row r="24" spans="1:14" x14ac:dyDescent="0.35">
      <c r="A24" s="156"/>
      <c r="C24" s="150"/>
      <c r="D24" s="150"/>
      <c r="E24" s="150"/>
      <c r="F24" s="150"/>
      <c r="G24" s="150"/>
      <c r="H24" s="125"/>
      <c r="I24" s="9"/>
      <c r="K24" s="9"/>
      <c r="L24" s="126"/>
      <c r="M24" s="13"/>
      <c r="N24" s="13"/>
    </row>
    <row r="25" spans="1:14" x14ac:dyDescent="0.35">
      <c r="A25" s="156"/>
      <c r="C25" s="150"/>
      <c r="D25" s="150"/>
      <c r="E25" s="150"/>
      <c r="F25" s="150"/>
      <c r="G25" s="150"/>
      <c r="H25" s="125"/>
      <c r="I25" s="9"/>
      <c r="K25" s="9"/>
      <c r="L25" s="126"/>
      <c r="M25" s="13"/>
      <c r="N25" s="13"/>
    </row>
    <row r="26" spans="1:14" x14ac:dyDescent="0.35">
      <c r="A26" s="156"/>
      <c r="C26" s="150"/>
      <c r="D26" s="150"/>
      <c r="E26" s="150"/>
      <c r="F26" s="150"/>
      <c r="G26" s="150"/>
      <c r="H26" s="125"/>
      <c r="I26" s="9"/>
      <c r="K26" s="9"/>
      <c r="L26" s="126"/>
      <c r="M26" s="13"/>
      <c r="N26" s="13"/>
    </row>
    <row r="27" spans="1:14" x14ac:dyDescent="0.35">
      <c r="A27" s="156"/>
      <c r="C27" s="150"/>
      <c r="D27" s="150"/>
      <c r="E27" s="150"/>
      <c r="F27" s="150"/>
      <c r="G27" s="150"/>
      <c r="H27" s="125"/>
      <c r="I27" s="9"/>
      <c r="K27" s="9"/>
      <c r="L27" s="126"/>
      <c r="M27" s="13"/>
      <c r="N27" s="13"/>
    </row>
    <row r="28" spans="1:14" x14ac:dyDescent="0.35">
      <c r="A28" s="156"/>
      <c r="C28" s="150"/>
      <c r="D28" s="150"/>
      <c r="E28" s="150"/>
      <c r="F28" s="150"/>
      <c r="G28" s="150"/>
      <c r="H28" s="125"/>
      <c r="I28" s="9"/>
      <c r="K28" s="9"/>
      <c r="L28" s="126"/>
      <c r="M28" s="13"/>
      <c r="N28" s="13"/>
    </row>
    <row r="29" spans="1:14" x14ac:dyDescent="0.35">
      <c r="A29" s="156"/>
      <c r="C29" s="150"/>
      <c r="D29" s="150"/>
      <c r="E29" s="150"/>
      <c r="F29" s="150"/>
      <c r="G29" s="150"/>
      <c r="H29" s="125"/>
      <c r="I29" s="9"/>
      <c r="K29" s="9"/>
      <c r="L29" s="126"/>
    </row>
    <row r="30" spans="1:14" x14ac:dyDescent="0.35">
      <c r="A30" s="156"/>
      <c r="G30" s="140"/>
      <c r="H30" s="9"/>
      <c r="I30" s="9"/>
      <c r="K30" s="9"/>
      <c r="L30" s="126"/>
    </row>
    <row r="31" spans="1:14" x14ac:dyDescent="0.35">
      <c r="A31" s="156"/>
      <c r="G31" s="140"/>
      <c r="H31" s="126"/>
      <c r="I31" s="126"/>
      <c r="K31" s="126"/>
      <c r="L31" s="126"/>
    </row>
    <row r="32" spans="1:14" x14ac:dyDescent="0.35">
      <c r="A32" s="156"/>
      <c r="G32" s="140"/>
      <c r="H32" s="126"/>
      <c r="I32" s="126"/>
      <c r="K32" s="126"/>
      <c r="L32" s="126"/>
    </row>
    <row r="33" spans="1:12" x14ac:dyDescent="0.35">
      <c r="A33" s="156"/>
      <c r="G33" s="140"/>
      <c r="H33" s="126"/>
      <c r="I33" s="126"/>
      <c r="K33" s="126"/>
      <c r="L33" s="126"/>
    </row>
    <row r="34" spans="1:12" x14ac:dyDescent="0.35">
      <c r="A34" s="156"/>
      <c r="G34" s="140"/>
      <c r="H34" s="13"/>
      <c r="I34" s="13"/>
      <c r="K34" s="13"/>
    </row>
    <row r="35" spans="1:12" x14ac:dyDescent="0.35">
      <c r="A35" s="156"/>
      <c r="G35" s="140"/>
      <c r="H35" s="13"/>
      <c r="I35" s="13"/>
      <c r="K35" s="13"/>
    </row>
    <row r="36" spans="1:12" x14ac:dyDescent="0.35">
      <c r="A36" s="156"/>
      <c r="G36" s="140"/>
      <c r="H36" s="13"/>
      <c r="I36" s="13"/>
      <c r="K36" s="13"/>
    </row>
    <row r="37" spans="1:12" x14ac:dyDescent="0.35">
      <c r="A37" s="156"/>
      <c r="G37" s="140"/>
      <c r="H37" s="13"/>
      <c r="I37" s="13"/>
      <c r="K37" s="13"/>
    </row>
    <row r="38" spans="1:12" x14ac:dyDescent="0.35">
      <c r="A38" s="156"/>
      <c r="G38" s="140"/>
      <c r="H38" s="13"/>
      <c r="I38" s="13"/>
      <c r="K38" s="13"/>
    </row>
    <row r="39" spans="1:12" x14ac:dyDescent="0.35">
      <c r="A39" s="156"/>
      <c r="G39" s="140"/>
      <c r="H39" s="13"/>
      <c r="I39" s="13"/>
      <c r="K39" s="13"/>
    </row>
    <row r="40" spans="1:12" x14ac:dyDescent="0.35">
      <c r="A40" s="156"/>
      <c r="G40" s="140"/>
      <c r="H40" s="13"/>
      <c r="I40" s="13"/>
      <c r="K40" s="13"/>
    </row>
    <row r="41" spans="1:12" x14ac:dyDescent="0.35">
      <c r="A41" s="156"/>
      <c r="G41" s="140"/>
      <c r="H41" s="13"/>
      <c r="I41" s="13"/>
      <c r="K41" s="13"/>
    </row>
    <row r="42" spans="1:12" x14ac:dyDescent="0.35">
      <c r="A42" s="156"/>
      <c r="G42" s="140"/>
      <c r="H42" s="13"/>
      <c r="I42" s="13"/>
      <c r="K42" s="13"/>
    </row>
    <row r="43" spans="1:12" x14ac:dyDescent="0.35">
      <c r="A43" s="156"/>
      <c r="G43" s="140"/>
      <c r="H43" s="13"/>
      <c r="I43" s="13"/>
      <c r="K43" s="13"/>
    </row>
    <row r="44" spans="1:12" x14ac:dyDescent="0.35">
      <c r="A44" s="156"/>
      <c r="G44" s="118"/>
      <c r="I44" s="118"/>
    </row>
    <row r="45" spans="1:12" x14ac:dyDescent="0.35">
      <c r="A45" s="156"/>
      <c r="G45" s="118"/>
      <c r="I45" s="118"/>
    </row>
    <row r="46" spans="1:12" x14ac:dyDescent="0.35">
      <c r="A46" s="156"/>
      <c r="G46" s="118"/>
      <c r="I46" s="118"/>
    </row>
    <row r="47" spans="1:12" x14ac:dyDescent="0.35">
      <c r="A47" s="156"/>
      <c r="G47" s="118"/>
      <c r="I47" s="118"/>
    </row>
    <row r="48" spans="1:12" x14ac:dyDescent="0.35">
      <c r="A48" s="156"/>
      <c r="G48" s="118"/>
      <c r="I48" s="118"/>
    </row>
    <row r="49" spans="1:9" x14ac:dyDescent="0.35">
      <c r="A49" s="156"/>
      <c r="G49" s="118"/>
      <c r="I49" s="118"/>
    </row>
    <row r="50" spans="1:9" x14ac:dyDescent="0.35">
      <c r="A50" s="156"/>
      <c r="G50" s="118"/>
      <c r="I50" s="118"/>
    </row>
    <row r="51" spans="1:9" x14ac:dyDescent="0.35">
      <c r="A51" s="156"/>
      <c r="G51" s="118"/>
      <c r="I51" s="118"/>
    </row>
    <row r="52" spans="1:9" x14ac:dyDescent="0.35">
      <c r="A52" s="156"/>
      <c r="G52" s="118"/>
      <c r="I52" s="118"/>
    </row>
    <row r="53" spans="1:9" x14ac:dyDescent="0.35">
      <c r="A53" s="156"/>
      <c r="G53" s="118"/>
      <c r="I53" s="118"/>
    </row>
    <row r="54" spans="1:9" x14ac:dyDescent="0.35">
      <c r="A54" s="156"/>
      <c r="G54" s="118"/>
      <c r="I54" s="118"/>
    </row>
    <row r="55" spans="1:9" x14ac:dyDescent="0.35">
      <c r="A55" s="156"/>
      <c r="G55" s="118"/>
      <c r="I55" s="118"/>
    </row>
    <row r="56" spans="1:9" x14ac:dyDescent="0.35">
      <c r="A56" s="156"/>
      <c r="G56" s="118"/>
      <c r="I56" s="118"/>
    </row>
    <row r="57" spans="1:9" x14ac:dyDescent="0.35">
      <c r="A57" s="156"/>
      <c r="G57" s="118"/>
      <c r="I57" s="118"/>
    </row>
    <row r="58" spans="1:9" x14ac:dyDescent="0.35">
      <c r="A58" s="156"/>
      <c r="G58" s="118"/>
      <c r="I58" s="118"/>
    </row>
    <row r="59" spans="1:9" x14ac:dyDescent="0.35">
      <c r="A59" s="156"/>
      <c r="G59" s="118"/>
      <c r="I59" s="118"/>
    </row>
    <row r="60" spans="1:9" x14ac:dyDescent="0.35">
      <c r="A60" s="156"/>
      <c r="G60" s="118"/>
      <c r="I60" s="118"/>
    </row>
    <row r="61" spans="1:9" x14ac:dyDescent="0.35">
      <c r="A61" s="156"/>
      <c r="G61" s="118"/>
      <c r="I61" s="118"/>
    </row>
    <row r="62" spans="1:9" x14ac:dyDescent="0.35">
      <c r="A62" s="156"/>
      <c r="G62" s="118"/>
      <c r="I62" s="118"/>
    </row>
    <row r="63" spans="1:9" x14ac:dyDescent="0.35">
      <c r="A63" s="156"/>
      <c r="G63" s="118"/>
      <c r="I63" s="118"/>
    </row>
    <row r="64" spans="1:9" x14ac:dyDescent="0.35">
      <c r="A64" s="156"/>
      <c r="G64" s="118"/>
      <c r="I64" s="118"/>
    </row>
    <row r="65" spans="1:9" x14ac:dyDescent="0.35">
      <c r="A65" s="156"/>
      <c r="G65" s="118"/>
      <c r="I65" s="118"/>
    </row>
    <row r="66" spans="1:9" x14ac:dyDescent="0.35">
      <c r="A66" s="156"/>
      <c r="G66" s="118"/>
      <c r="I66" s="118"/>
    </row>
    <row r="67" spans="1:9" x14ac:dyDescent="0.35">
      <c r="A67" s="156"/>
      <c r="G67" s="118"/>
      <c r="I67" s="118"/>
    </row>
    <row r="68" spans="1:9" x14ac:dyDescent="0.35">
      <c r="A68" s="156"/>
      <c r="G68" s="118"/>
      <c r="I68" s="118"/>
    </row>
    <row r="69" spans="1:9" x14ac:dyDescent="0.35">
      <c r="A69" s="156"/>
      <c r="G69" s="118"/>
      <c r="I69" s="118"/>
    </row>
    <row r="70" spans="1:9" x14ac:dyDescent="0.35">
      <c r="A70" s="156"/>
      <c r="G70" s="118"/>
      <c r="I70" s="118"/>
    </row>
    <row r="71" spans="1:9" x14ac:dyDescent="0.35">
      <c r="A71" s="156"/>
      <c r="G71" s="118"/>
      <c r="I71" s="118"/>
    </row>
    <row r="72" spans="1:9" x14ac:dyDescent="0.35">
      <c r="A72" s="156"/>
      <c r="G72" s="118"/>
      <c r="I72" s="118"/>
    </row>
    <row r="73" spans="1:9" x14ac:dyDescent="0.35">
      <c r="A73" s="156"/>
      <c r="G73" s="118"/>
      <c r="I73" s="118"/>
    </row>
    <row r="74" spans="1:9" x14ac:dyDescent="0.35">
      <c r="A74" s="156"/>
      <c r="G74" s="118"/>
      <c r="I74" s="118"/>
    </row>
    <row r="75" spans="1:9" x14ac:dyDescent="0.35">
      <c r="A75" s="156"/>
      <c r="G75" s="118"/>
      <c r="I75" s="118"/>
    </row>
    <row r="76" spans="1:9" x14ac:dyDescent="0.35">
      <c r="A76" s="156"/>
      <c r="G76" s="118"/>
      <c r="I76" s="118"/>
    </row>
    <row r="77" spans="1:9" x14ac:dyDescent="0.35">
      <c r="A77" s="156"/>
      <c r="G77" s="118"/>
      <c r="I77" s="118"/>
    </row>
    <row r="78" spans="1:9" x14ac:dyDescent="0.35">
      <c r="G78" s="118"/>
      <c r="I78" s="118"/>
    </row>
    <row r="79" spans="1:9" x14ac:dyDescent="0.35">
      <c r="G79" s="118"/>
      <c r="I79" s="118"/>
    </row>
    <row r="80" spans="1:9" x14ac:dyDescent="0.35">
      <c r="G80" s="118"/>
      <c r="I80" s="118"/>
    </row>
    <row r="81" spans="7:9" x14ac:dyDescent="0.35">
      <c r="G81" s="118"/>
      <c r="I81" s="118"/>
    </row>
    <row r="82" spans="7:9" x14ac:dyDescent="0.35">
      <c r="G82" s="118"/>
      <c r="I82" s="118"/>
    </row>
    <row r="83" spans="7:9" x14ac:dyDescent="0.35">
      <c r="G83" s="118"/>
      <c r="I83" s="118"/>
    </row>
    <row r="84" spans="7:9" x14ac:dyDescent="0.35">
      <c r="G84" s="118"/>
      <c r="I84" s="118"/>
    </row>
    <row r="85" spans="7:9" x14ac:dyDescent="0.35">
      <c r="G85" s="118"/>
      <c r="I85" s="118"/>
    </row>
    <row r="86" spans="7:9" x14ac:dyDescent="0.35">
      <c r="G86" s="118"/>
      <c r="I86" s="118"/>
    </row>
    <row r="87" spans="7:9" x14ac:dyDescent="0.35">
      <c r="G87" s="118"/>
      <c r="I87" s="118"/>
    </row>
    <row r="88" spans="7:9" x14ac:dyDescent="0.35">
      <c r="G88" s="118"/>
      <c r="I88" s="118"/>
    </row>
    <row r="89" spans="7:9" x14ac:dyDescent="0.35">
      <c r="G89" s="118"/>
      <c r="I89" s="118"/>
    </row>
    <row r="90" spans="7:9" x14ac:dyDescent="0.35">
      <c r="G90" s="118"/>
      <c r="I90" s="118"/>
    </row>
    <row r="91" spans="7:9" x14ac:dyDescent="0.35">
      <c r="G91" s="118"/>
      <c r="I91" s="118"/>
    </row>
    <row r="92" spans="7:9" x14ac:dyDescent="0.35">
      <c r="G92" s="118"/>
      <c r="I92" s="118"/>
    </row>
    <row r="93" spans="7:9" x14ac:dyDescent="0.35">
      <c r="G93" s="118"/>
      <c r="I93" s="118"/>
    </row>
    <row r="94" spans="7:9" x14ac:dyDescent="0.35">
      <c r="G94" s="118"/>
      <c r="I94" s="118"/>
    </row>
    <row r="95" spans="7:9" x14ac:dyDescent="0.35">
      <c r="G95" s="118"/>
      <c r="I95" s="118"/>
    </row>
    <row r="96" spans="7:9" x14ac:dyDescent="0.35">
      <c r="G96" s="118"/>
      <c r="I96" s="118"/>
    </row>
    <row r="97" spans="7:9" x14ac:dyDescent="0.35">
      <c r="G97" s="118"/>
      <c r="I97" s="118"/>
    </row>
    <row r="98" spans="7:9" x14ac:dyDescent="0.35">
      <c r="G98" s="118"/>
      <c r="I98" s="118"/>
    </row>
    <row r="99" spans="7:9" x14ac:dyDescent="0.35">
      <c r="G99" s="118"/>
      <c r="I99" s="118"/>
    </row>
    <row r="100" spans="7:9" x14ac:dyDescent="0.35">
      <c r="G100" s="118"/>
      <c r="I100" s="118"/>
    </row>
    <row r="101" spans="7:9" x14ac:dyDescent="0.35">
      <c r="G101" s="118"/>
      <c r="I101" s="118"/>
    </row>
    <row r="102" spans="7:9" x14ac:dyDescent="0.35">
      <c r="G102" s="118"/>
      <c r="I102" s="118"/>
    </row>
    <row r="103" spans="7:9" x14ac:dyDescent="0.35">
      <c r="G103" s="118"/>
      <c r="I103" s="118"/>
    </row>
    <row r="104" spans="7:9" x14ac:dyDescent="0.35">
      <c r="G104" s="118"/>
      <c r="I104" s="118"/>
    </row>
    <row r="105" spans="7:9" x14ac:dyDescent="0.35">
      <c r="G105" s="118"/>
      <c r="I105" s="118"/>
    </row>
    <row r="106" spans="7:9" x14ac:dyDescent="0.35">
      <c r="G106" s="118"/>
      <c r="I106" s="118"/>
    </row>
    <row r="107" spans="7:9" x14ac:dyDescent="0.35">
      <c r="G107" s="118"/>
      <c r="I107" s="118"/>
    </row>
    <row r="108" spans="7:9" x14ac:dyDescent="0.35">
      <c r="G108" s="118"/>
      <c r="I108" s="118"/>
    </row>
    <row r="109" spans="7:9" x14ac:dyDescent="0.35">
      <c r="G109" s="118"/>
      <c r="I109" s="118"/>
    </row>
    <row r="110" spans="7:9" x14ac:dyDescent="0.35">
      <c r="G110" s="118"/>
      <c r="I110" s="118"/>
    </row>
    <row r="111" spans="7:9" x14ac:dyDescent="0.35">
      <c r="G111" s="118"/>
      <c r="I111" s="118"/>
    </row>
    <row r="112" spans="7:9" x14ac:dyDescent="0.35">
      <c r="G112" s="118"/>
      <c r="I112" s="118"/>
    </row>
    <row r="113" spans="7:9" x14ac:dyDescent="0.35">
      <c r="G113" s="118"/>
      <c r="I113" s="118"/>
    </row>
    <row r="114" spans="7:9" x14ac:dyDescent="0.35">
      <c r="G114" s="118"/>
      <c r="I114" s="118"/>
    </row>
    <row r="115" spans="7:9" x14ac:dyDescent="0.35">
      <c r="G115" s="118"/>
      <c r="I115" s="118"/>
    </row>
    <row r="116" spans="7:9" x14ac:dyDescent="0.35">
      <c r="G116" s="118"/>
      <c r="I116" s="118"/>
    </row>
    <row r="117" spans="7:9" x14ac:dyDescent="0.35">
      <c r="G117" s="118"/>
      <c r="I117" s="118"/>
    </row>
    <row r="118" spans="7:9" x14ac:dyDescent="0.35">
      <c r="G118" s="118"/>
      <c r="I118" s="118"/>
    </row>
    <row r="119" spans="7:9" x14ac:dyDescent="0.35">
      <c r="G119" s="118"/>
      <c r="I119" s="118"/>
    </row>
    <row r="120" spans="7:9" x14ac:dyDescent="0.35">
      <c r="G120" s="118"/>
      <c r="I120" s="118"/>
    </row>
    <row r="121" spans="7:9" x14ac:dyDescent="0.35">
      <c r="G121" s="118"/>
      <c r="I121" s="118"/>
    </row>
    <row r="122" spans="7:9" x14ac:dyDescent="0.35">
      <c r="G122" s="118"/>
      <c r="I122" s="118"/>
    </row>
    <row r="123" spans="7:9" x14ac:dyDescent="0.35">
      <c r="G123" s="118"/>
      <c r="I123" s="118"/>
    </row>
    <row r="124" spans="7:9" x14ac:dyDescent="0.35">
      <c r="G124" s="118"/>
      <c r="I124" s="118"/>
    </row>
    <row r="125" spans="7:9" x14ac:dyDescent="0.35">
      <c r="G125" s="118"/>
      <c r="I125" s="118"/>
    </row>
    <row r="126" spans="7:9" x14ac:dyDescent="0.35">
      <c r="G126" s="118"/>
      <c r="I126" s="118"/>
    </row>
    <row r="127" spans="7:9" x14ac:dyDescent="0.35">
      <c r="G127" s="118"/>
      <c r="I127" s="118"/>
    </row>
    <row r="128" spans="7:9" x14ac:dyDescent="0.35">
      <c r="G128" s="118"/>
      <c r="I128" s="118"/>
    </row>
    <row r="129" spans="7:9" x14ac:dyDescent="0.35">
      <c r="G129" s="118"/>
      <c r="I129" s="118"/>
    </row>
    <row r="130" spans="7:9" x14ac:dyDescent="0.35">
      <c r="G130" s="118"/>
      <c r="I130" s="118"/>
    </row>
    <row r="131" spans="7:9" x14ac:dyDescent="0.35">
      <c r="G131" s="118"/>
    </row>
    <row r="132" spans="7:9" x14ac:dyDescent="0.35">
      <c r="G132" s="118"/>
      <c r="I132" s="118"/>
    </row>
    <row r="133" spans="7:9" x14ac:dyDescent="0.35">
      <c r="G133" s="118"/>
      <c r="I133" s="118"/>
    </row>
    <row r="134" spans="7:9" x14ac:dyDescent="0.35">
      <c r="G134" s="118"/>
      <c r="I134" s="118"/>
    </row>
    <row r="135" spans="7:9" x14ac:dyDescent="0.35">
      <c r="G135" s="118"/>
      <c r="I135" s="118"/>
    </row>
    <row r="136" spans="7:9" x14ac:dyDescent="0.35">
      <c r="G136" s="118"/>
      <c r="I136" s="118"/>
    </row>
    <row r="137" spans="7:9" x14ac:dyDescent="0.35">
      <c r="G137" s="118"/>
      <c r="I137" s="118"/>
    </row>
    <row r="138" spans="7:9" x14ac:dyDescent="0.35">
      <c r="G138" s="118"/>
      <c r="I138" s="118"/>
    </row>
    <row r="139" spans="7:9" x14ac:dyDescent="0.35">
      <c r="G139" s="118"/>
      <c r="I139" s="118"/>
    </row>
    <row r="140" spans="7:9" x14ac:dyDescent="0.35">
      <c r="G140" s="118"/>
      <c r="I140" s="118"/>
    </row>
    <row r="141" spans="7:9" x14ac:dyDescent="0.35">
      <c r="G141" s="118"/>
      <c r="I141" s="118"/>
    </row>
    <row r="142" spans="7:9" x14ac:dyDescent="0.35">
      <c r="G142" s="118"/>
      <c r="I142" s="118"/>
    </row>
    <row r="143" spans="7:9" x14ac:dyDescent="0.35">
      <c r="G143" s="118"/>
      <c r="I143" s="118"/>
    </row>
    <row r="144" spans="7:9" x14ac:dyDescent="0.35">
      <c r="G144" s="118"/>
      <c r="I144" s="118"/>
    </row>
    <row r="145" spans="7:9" x14ac:dyDescent="0.35">
      <c r="G145" s="118"/>
      <c r="I145" s="118"/>
    </row>
    <row r="146" spans="7:9" x14ac:dyDescent="0.35">
      <c r="G146" s="118"/>
      <c r="I146" s="118"/>
    </row>
    <row r="147" spans="7:9" x14ac:dyDescent="0.35">
      <c r="G147" s="118"/>
      <c r="I147" s="118"/>
    </row>
    <row r="148" spans="7:9" x14ac:dyDescent="0.35">
      <c r="G148" s="118"/>
      <c r="I148" s="118"/>
    </row>
    <row r="149" spans="7:9" x14ac:dyDescent="0.35">
      <c r="G149" s="118"/>
      <c r="I149" s="118"/>
    </row>
    <row r="150" spans="7:9" x14ac:dyDescent="0.35">
      <c r="G150" s="118"/>
      <c r="I150" s="118"/>
    </row>
    <row r="151" spans="7:9" x14ac:dyDescent="0.35">
      <c r="G151" s="118"/>
      <c r="I151" s="118"/>
    </row>
    <row r="152" spans="7:9" x14ac:dyDescent="0.35">
      <c r="G152" s="118"/>
      <c r="I152" s="118"/>
    </row>
    <row r="153" spans="7:9" x14ac:dyDescent="0.35">
      <c r="G153" s="118"/>
      <c r="I153" s="118"/>
    </row>
    <row r="154" spans="7:9" x14ac:dyDescent="0.35">
      <c r="G154" s="118"/>
      <c r="I154" s="118"/>
    </row>
    <row r="155" spans="7:9" x14ac:dyDescent="0.35">
      <c r="G155" s="118"/>
      <c r="I155" s="118"/>
    </row>
    <row r="156" spans="7:9" x14ac:dyDescent="0.35">
      <c r="G156" s="118"/>
      <c r="I156" s="118"/>
    </row>
    <row r="157" spans="7:9" x14ac:dyDescent="0.35">
      <c r="G157" s="118"/>
      <c r="I157" s="118"/>
    </row>
    <row r="158" spans="7:9" x14ac:dyDescent="0.35">
      <c r="G158" s="118"/>
      <c r="I158" s="118"/>
    </row>
    <row r="159" spans="7:9" x14ac:dyDescent="0.35">
      <c r="G159" s="118"/>
      <c r="I159" s="118"/>
    </row>
    <row r="160" spans="7:9" x14ac:dyDescent="0.35">
      <c r="G160" s="118"/>
    </row>
    <row r="161" spans="7:9" x14ac:dyDescent="0.35">
      <c r="G161" s="118"/>
      <c r="I161" s="118"/>
    </row>
    <row r="162" spans="7:9" x14ac:dyDescent="0.35">
      <c r="G162" s="118"/>
      <c r="I162" s="118"/>
    </row>
    <row r="163" spans="7:9" x14ac:dyDescent="0.35">
      <c r="G163" s="118"/>
      <c r="I163" s="118"/>
    </row>
    <row r="164" spans="7:9" x14ac:dyDescent="0.35">
      <c r="G164" s="118"/>
      <c r="I164" s="118"/>
    </row>
    <row r="165" spans="7:9" x14ac:dyDescent="0.35">
      <c r="G165" s="118"/>
      <c r="I165" s="118"/>
    </row>
    <row r="166" spans="7:9" x14ac:dyDescent="0.35">
      <c r="G166" s="118"/>
      <c r="I166" s="118"/>
    </row>
    <row r="167" spans="7:9" x14ac:dyDescent="0.35">
      <c r="G167" s="118"/>
      <c r="I167" s="118"/>
    </row>
    <row r="168" spans="7:9" x14ac:dyDescent="0.35">
      <c r="G168" s="118"/>
      <c r="I168" s="118"/>
    </row>
    <row r="169" spans="7:9" x14ac:dyDescent="0.35">
      <c r="G169" s="118"/>
      <c r="I169" s="118"/>
    </row>
    <row r="170" spans="7:9" x14ac:dyDescent="0.35">
      <c r="G170" s="118"/>
      <c r="I170" s="118"/>
    </row>
    <row r="171" spans="7:9" x14ac:dyDescent="0.35">
      <c r="G171" s="118"/>
      <c r="I171" s="118"/>
    </row>
    <row r="172" spans="7:9" x14ac:dyDescent="0.35">
      <c r="G172" s="118"/>
      <c r="I172" s="118"/>
    </row>
    <row r="173" spans="7:9" x14ac:dyDescent="0.35">
      <c r="G173" s="118"/>
      <c r="I173" s="118"/>
    </row>
    <row r="174" spans="7:9" x14ac:dyDescent="0.35">
      <c r="G174" s="118"/>
      <c r="I174" s="118"/>
    </row>
    <row r="175" spans="7:9" x14ac:dyDescent="0.35">
      <c r="G175" s="118"/>
      <c r="I175" s="118"/>
    </row>
    <row r="176" spans="7:9" x14ac:dyDescent="0.35">
      <c r="G176" s="118"/>
      <c r="I176" s="118"/>
    </row>
    <row r="177" spans="7:9" x14ac:dyDescent="0.35">
      <c r="G177" s="118"/>
      <c r="I177" s="118"/>
    </row>
    <row r="178" spans="7:9" x14ac:dyDescent="0.35">
      <c r="G178" s="118"/>
      <c r="I178" s="118"/>
    </row>
    <row r="179" spans="7:9" x14ac:dyDescent="0.35">
      <c r="G179" s="118"/>
      <c r="I179" s="118"/>
    </row>
    <row r="180" spans="7:9" x14ac:dyDescent="0.35">
      <c r="G180" s="118"/>
      <c r="I180" s="118"/>
    </row>
    <row r="181" spans="7:9" x14ac:dyDescent="0.35">
      <c r="G181" s="118"/>
      <c r="I181" s="118"/>
    </row>
    <row r="182" spans="7:9" x14ac:dyDescent="0.35">
      <c r="G182" s="118"/>
      <c r="I182" s="118"/>
    </row>
    <row r="183" spans="7:9" x14ac:dyDescent="0.35">
      <c r="G183" s="118"/>
      <c r="I183" s="118"/>
    </row>
    <row r="184" spans="7:9" x14ac:dyDescent="0.35">
      <c r="G184" s="118"/>
      <c r="I184" s="118"/>
    </row>
    <row r="185" spans="7:9" x14ac:dyDescent="0.35">
      <c r="G185" s="118"/>
      <c r="I185" s="118"/>
    </row>
    <row r="186" spans="7:9" x14ac:dyDescent="0.35">
      <c r="G186" s="118"/>
      <c r="I186" s="118"/>
    </row>
    <row r="187" spans="7:9" x14ac:dyDescent="0.35">
      <c r="G187" s="118"/>
      <c r="I187" s="118"/>
    </row>
    <row r="188" spans="7:9" x14ac:dyDescent="0.35">
      <c r="G188" s="118"/>
      <c r="I188" s="118"/>
    </row>
    <row r="189" spans="7:9" x14ac:dyDescent="0.35">
      <c r="G189" s="118"/>
      <c r="I189" s="118"/>
    </row>
    <row r="190" spans="7:9" x14ac:dyDescent="0.35">
      <c r="G190" s="118"/>
      <c r="I190" s="118"/>
    </row>
    <row r="191" spans="7:9" x14ac:dyDescent="0.35">
      <c r="G191" s="118"/>
      <c r="I191" s="118"/>
    </row>
    <row r="192" spans="7:9" x14ac:dyDescent="0.35">
      <c r="G192" s="118"/>
      <c r="I192" s="118"/>
    </row>
    <row r="193" spans="7:9" x14ac:dyDescent="0.35">
      <c r="G193" s="118"/>
      <c r="I193" s="118"/>
    </row>
    <row r="194" spans="7:9" x14ac:dyDescent="0.35">
      <c r="G194" s="118"/>
      <c r="I194" s="118"/>
    </row>
    <row r="195" spans="7:9" x14ac:dyDescent="0.35">
      <c r="G195" s="118"/>
      <c r="I195" s="118"/>
    </row>
    <row r="196" spans="7:9" x14ac:dyDescent="0.35">
      <c r="G196" s="118"/>
      <c r="I196" s="118"/>
    </row>
    <row r="197" spans="7:9" x14ac:dyDescent="0.35">
      <c r="G197" s="118"/>
      <c r="I197" s="118"/>
    </row>
    <row r="198" spans="7:9" x14ac:dyDescent="0.35">
      <c r="G198" s="118"/>
      <c r="I198" s="118"/>
    </row>
    <row r="199" spans="7:9" x14ac:dyDescent="0.35">
      <c r="G199" s="118"/>
      <c r="I199" s="118"/>
    </row>
    <row r="200" spans="7:9" x14ac:dyDescent="0.35">
      <c r="G200" s="118"/>
    </row>
    <row r="201" spans="7:9" x14ac:dyDescent="0.35">
      <c r="G201" s="118"/>
    </row>
    <row r="202" spans="7:9" x14ac:dyDescent="0.35">
      <c r="G202" s="118"/>
    </row>
    <row r="203" spans="7:9" x14ac:dyDescent="0.35">
      <c r="G203" s="118"/>
    </row>
    <row r="204" spans="7:9" x14ac:dyDescent="0.35">
      <c r="G204" s="141"/>
    </row>
    <row r="205" spans="7:9" x14ac:dyDescent="0.35">
      <c r="G205" s="141"/>
    </row>
    <row r="206" spans="7:9" x14ac:dyDescent="0.35">
      <c r="G206" s="141"/>
    </row>
    <row r="207" spans="7:9" x14ac:dyDescent="0.35">
      <c r="G207" s="141"/>
    </row>
    <row r="208" spans="7:9" x14ac:dyDescent="0.35">
      <c r="G208" s="141"/>
    </row>
    <row r="209" spans="7:7" x14ac:dyDescent="0.35">
      <c r="G209" s="141"/>
    </row>
    <row r="210" spans="7:7" x14ac:dyDescent="0.35">
      <c r="G210" s="141"/>
    </row>
    <row r="211" spans="7:7" x14ac:dyDescent="0.35">
      <c r="G211" s="141"/>
    </row>
    <row r="212" spans="7:7" x14ac:dyDescent="0.35">
      <c r="G212" s="141"/>
    </row>
    <row r="213" spans="7:7" x14ac:dyDescent="0.35">
      <c r="G213" s="141"/>
    </row>
    <row r="214" spans="7:7" x14ac:dyDescent="0.35">
      <c r="G214" s="141"/>
    </row>
    <row r="215" spans="7:7" x14ac:dyDescent="0.35">
      <c r="G215" s="141"/>
    </row>
    <row r="216" spans="7:7" x14ac:dyDescent="0.35">
      <c r="G216" s="141"/>
    </row>
    <row r="217" spans="7:7" x14ac:dyDescent="0.35">
      <c r="G217" s="141"/>
    </row>
    <row r="218" spans="7:7" x14ac:dyDescent="0.35">
      <c r="G218" s="141"/>
    </row>
    <row r="219" spans="7:7" x14ac:dyDescent="0.35">
      <c r="G219" s="141"/>
    </row>
    <row r="220" spans="7:7" x14ac:dyDescent="0.35">
      <c r="G220" s="141"/>
    </row>
    <row r="221" spans="7:7" x14ac:dyDescent="0.35">
      <c r="G221" s="141"/>
    </row>
    <row r="222" spans="7:7" x14ac:dyDescent="0.35">
      <c r="G222" s="141"/>
    </row>
    <row r="223" spans="7:7" x14ac:dyDescent="0.35">
      <c r="G223" s="141"/>
    </row>
    <row r="224" spans="7:7" x14ac:dyDescent="0.35">
      <c r="G224" s="141"/>
    </row>
    <row r="225" spans="7:7" x14ac:dyDescent="0.35">
      <c r="G225" s="141"/>
    </row>
    <row r="226" spans="7:7" x14ac:dyDescent="0.35">
      <c r="G226" s="141"/>
    </row>
    <row r="227" spans="7:7" x14ac:dyDescent="0.35">
      <c r="G227" s="141"/>
    </row>
    <row r="228" spans="7:7" x14ac:dyDescent="0.35">
      <c r="G228" s="141"/>
    </row>
    <row r="229" spans="7:7" x14ac:dyDescent="0.35">
      <c r="G229" s="141"/>
    </row>
    <row r="230" spans="7:7" x14ac:dyDescent="0.35">
      <c r="G230" s="141"/>
    </row>
    <row r="231" spans="7:7" x14ac:dyDescent="0.35">
      <c r="G231" s="141"/>
    </row>
    <row r="232" spans="7:7" x14ac:dyDescent="0.35">
      <c r="G232" s="141"/>
    </row>
    <row r="233" spans="7:7" x14ac:dyDescent="0.35">
      <c r="G233" s="141"/>
    </row>
    <row r="234" spans="7:7" x14ac:dyDescent="0.35">
      <c r="G234" s="141"/>
    </row>
    <row r="235" spans="7:7" x14ac:dyDescent="0.35">
      <c r="G235" s="141"/>
    </row>
    <row r="236" spans="7:7" x14ac:dyDescent="0.35">
      <c r="G236" s="141"/>
    </row>
    <row r="237" spans="7:7" x14ac:dyDescent="0.35">
      <c r="G237" s="14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Oil Crops Chart Gallery Fig 1</vt:lpstr>
      <vt:lpstr>Oil Crops Chart Gallery Fig 2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Mark S. Ash; Dana Golden</dc:creator>
  <cp:keywords>soybeans, cottonseed, sunflower, peanuts, canola, supply, disappearance, price, USDA, U.S. Department of Agriculture, ERS, Economic Research Service</cp:keywords>
  <dc:description/>
  <cp:lastModifiedBy>helpdesk</cp:lastModifiedBy>
  <cp:lastPrinted>2014-11-10T20:35:48Z</cp:lastPrinted>
  <dcterms:created xsi:type="dcterms:W3CDTF">2001-11-13T16:22:15Z</dcterms:created>
  <dcterms:modified xsi:type="dcterms:W3CDTF">2021-01-14T15:06:27Z</dcterms:modified>
  <cp:category>Oilseeds</cp:category>
</cp:coreProperties>
</file>