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xr:revisionPtr revIDLastSave="0" documentId="13_ncr:1_{F966D2CD-E9CE-4C70-8A26-6F3D838F5CCB}" xr6:coauthVersionLast="45" xr6:coauthVersionMax="45" xr10:uidLastSave="{00000000-0000-0000-0000-000000000000}"/>
  <bookViews>
    <workbookView xWindow="200" yWindow="350" windowWidth="18670" windowHeight="9870" tabRatio="633" activeTab="1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14" r:id="rId9"/>
    <sheet name="Oil Crops Chart Gallery Fig 1" sheetId="13" r:id="rId10"/>
    <sheet name="Oil Crops Chart Gallery Fig 2" sheetId="12" r:id="rId11"/>
  </sheets>
  <definedNames>
    <definedName name="_xlnm.Print_Area" localSheetId="1">'Table 1'!$A$1:$N$39</definedName>
    <definedName name="_xlnm.Print_Area" localSheetId="7">'Table 10'!$A$1:$G$39</definedName>
    <definedName name="_xlnm.Print_Area" localSheetId="2">'Table 2'!$A$1:$J$31</definedName>
    <definedName name="_xlnm.Print_Area" localSheetId="3">'Table 3'!$A$1:$M$46</definedName>
    <definedName name="_xlnm.Print_Area" localSheetId="5">'Table 8'!$A$1:$G$37</definedName>
    <definedName name="_xlnm.Print_Area" localSheetId="6">'Table 9'!$A$1:$I$39</definedName>
    <definedName name="_xlnm.Print_Area" localSheetId="4">'Tables 4-7'!$A$1:$O$53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" l="1"/>
  <c r="H36" i="1"/>
  <c r="B35" i="12" l="1"/>
  <c r="C35" i="12"/>
  <c r="D35" i="12"/>
  <c r="B36" i="12"/>
  <c r="C36" i="12"/>
  <c r="D36" i="12"/>
  <c r="B22" i="12"/>
  <c r="C22" i="12"/>
  <c r="D22" i="12"/>
  <c r="B23" i="12"/>
  <c r="C23" i="12"/>
  <c r="D23" i="12"/>
  <c r="B24" i="12"/>
  <c r="C24" i="12"/>
  <c r="D24" i="12"/>
  <c r="B25" i="12"/>
  <c r="C25" i="12"/>
  <c r="D25" i="12"/>
  <c r="B26" i="12"/>
  <c r="C26" i="12"/>
  <c r="D26" i="12"/>
  <c r="B27" i="12"/>
  <c r="C27" i="12"/>
  <c r="D27" i="12"/>
  <c r="B28" i="12"/>
  <c r="C28" i="12"/>
  <c r="D28" i="12"/>
  <c r="B29" i="12"/>
  <c r="C29" i="12"/>
  <c r="D29" i="12"/>
  <c r="B30" i="12"/>
  <c r="C30" i="12"/>
  <c r="D30" i="12"/>
  <c r="B31" i="12"/>
  <c r="C31" i="12"/>
  <c r="D31" i="12"/>
  <c r="B32" i="12"/>
  <c r="C32" i="12"/>
  <c r="D32" i="12"/>
  <c r="B33" i="12"/>
  <c r="C33" i="12"/>
  <c r="D33" i="12"/>
  <c r="B34" i="12"/>
  <c r="C34" i="12"/>
  <c r="D34" i="12"/>
  <c r="C21" i="12"/>
  <c r="D21" i="12"/>
  <c r="B21" i="12"/>
  <c r="D29" i="9" l="1"/>
  <c r="J29" i="9"/>
  <c r="H28" i="2" l="1"/>
  <c r="D28" i="2"/>
  <c r="L35" i="1"/>
  <c r="G36" i="1"/>
  <c r="L36" i="1"/>
  <c r="G35" i="1"/>
  <c r="L9" i="9"/>
  <c r="J28" i="2" l="1"/>
  <c r="C28" i="2"/>
  <c r="H29" i="2"/>
  <c r="D29" i="2"/>
  <c r="C29" i="2"/>
  <c r="E28" i="2"/>
  <c r="B28" i="2"/>
  <c r="L29" i="9"/>
  <c r="J35" i="1"/>
  <c r="J36" i="1"/>
  <c r="F36" i="1"/>
  <c r="I28" i="2" l="1"/>
  <c r="I29" i="2" s="1"/>
  <c r="J23" i="9"/>
  <c r="I28" i="9"/>
  <c r="I30" i="9" s="1"/>
  <c r="J30" i="9"/>
  <c r="H30" i="9"/>
  <c r="D30" i="9"/>
  <c r="C30" i="9"/>
  <c r="E29" i="9"/>
  <c r="K29" i="9" s="1"/>
  <c r="G29" i="9" s="1"/>
  <c r="G30" i="9" s="1"/>
  <c r="B29" i="9"/>
  <c r="G28" i="2" l="1"/>
  <c r="G29" i="2" s="1"/>
  <c r="K30" i="9"/>
  <c r="B28" i="9" l="1"/>
  <c r="J28" i="9"/>
  <c r="D28" i="9"/>
  <c r="H27" i="2"/>
  <c r="D27" i="2"/>
  <c r="L33" i="1"/>
  <c r="G33" i="1"/>
  <c r="L28" i="9" l="1"/>
  <c r="C27" i="2" l="1"/>
  <c r="J27" i="2"/>
  <c r="E27" i="2"/>
  <c r="B27" i="2"/>
  <c r="G34" i="1"/>
  <c r="L34" i="1"/>
  <c r="J34" i="1"/>
  <c r="J33" i="1"/>
  <c r="E30" i="9" l="1"/>
  <c r="E29" i="2"/>
  <c r="I27" i="2"/>
  <c r="G27" i="2" s="1"/>
  <c r="I27" i="9"/>
  <c r="E28" i="9"/>
  <c r="K28" i="9" s="1"/>
  <c r="G28" i="9" l="1"/>
  <c r="L32" i="1"/>
  <c r="L31" i="1"/>
  <c r="L26" i="1"/>
  <c r="J12" i="9" l="1"/>
  <c r="J14" i="9"/>
  <c r="J13" i="9"/>
  <c r="J35" i="3" l="1"/>
  <c r="F8" i="1" l="1"/>
  <c r="J27" i="9" l="1"/>
  <c r="D27" i="9"/>
  <c r="B26" i="2"/>
  <c r="H26" i="2"/>
  <c r="D26" i="2"/>
  <c r="G32" i="1" l="1"/>
  <c r="L27" i="9" l="1"/>
  <c r="J26" i="2"/>
  <c r="C26" i="2"/>
  <c r="J31" i="1"/>
  <c r="J32" i="1"/>
  <c r="J7" i="2" l="1"/>
  <c r="H7" i="2"/>
  <c r="D7" i="2"/>
  <c r="C7" i="2"/>
  <c r="E34" i="1"/>
  <c r="H34" i="1" s="1"/>
  <c r="M34" i="1" s="1"/>
  <c r="J22" i="2"/>
  <c r="H22" i="2"/>
  <c r="D22" i="2"/>
  <c r="C22" i="2"/>
  <c r="J21" i="2"/>
  <c r="B22" i="2" s="1"/>
  <c r="E22" i="2" s="1"/>
  <c r="H21" i="2"/>
  <c r="D21" i="2"/>
  <c r="C21" i="2"/>
  <c r="J20" i="2"/>
  <c r="B21" i="2" s="1"/>
  <c r="H20" i="2"/>
  <c r="D20" i="2"/>
  <c r="C20" i="2"/>
  <c r="J19" i="2"/>
  <c r="B20" i="2" s="1"/>
  <c r="E20" i="2" s="1"/>
  <c r="H19" i="2"/>
  <c r="D19" i="2"/>
  <c r="C19" i="2"/>
  <c r="J18" i="2"/>
  <c r="B19" i="2" s="1"/>
  <c r="H18" i="2"/>
  <c r="D18" i="2"/>
  <c r="C18" i="2"/>
  <c r="J17" i="2"/>
  <c r="B18" i="2" s="1"/>
  <c r="E18" i="2" s="1"/>
  <c r="H17" i="2"/>
  <c r="D17" i="2"/>
  <c r="C17" i="2"/>
  <c r="J16" i="2"/>
  <c r="B17" i="2" s="1"/>
  <c r="H16" i="2"/>
  <c r="D16" i="2"/>
  <c r="C16" i="2"/>
  <c r="J15" i="2"/>
  <c r="B16" i="2" s="1"/>
  <c r="E16" i="2" s="1"/>
  <c r="H15" i="2"/>
  <c r="D15" i="2"/>
  <c r="C15" i="2"/>
  <c r="J14" i="2"/>
  <c r="B15" i="2" s="1"/>
  <c r="H14" i="2"/>
  <c r="D14" i="2"/>
  <c r="C14" i="2"/>
  <c r="J13" i="2"/>
  <c r="B14" i="2" s="1"/>
  <c r="E14" i="2" s="1"/>
  <c r="H13" i="2"/>
  <c r="D13" i="2"/>
  <c r="C13" i="2"/>
  <c r="J12" i="2"/>
  <c r="B13" i="2" s="1"/>
  <c r="H12" i="2"/>
  <c r="D12" i="2"/>
  <c r="C12" i="2"/>
  <c r="J11" i="2"/>
  <c r="B12" i="2" s="1"/>
  <c r="E12" i="2" s="1"/>
  <c r="H11" i="2"/>
  <c r="D11" i="2"/>
  <c r="C11" i="2"/>
  <c r="C23" i="2" s="1"/>
  <c r="B11" i="2"/>
  <c r="L8" i="9"/>
  <c r="D8" i="9"/>
  <c r="C8" i="9"/>
  <c r="B27" i="9"/>
  <c r="H24" i="9"/>
  <c r="H8" i="9" s="1"/>
  <c r="C24" i="9"/>
  <c r="L23" i="9"/>
  <c r="D23" i="9"/>
  <c r="L22" i="9"/>
  <c r="B23" i="9" s="1"/>
  <c r="E23" i="9" s="1"/>
  <c r="K23" i="9" s="1"/>
  <c r="G23" i="9" s="1"/>
  <c r="I23" i="9" s="1"/>
  <c r="J22" i="9"/>
  <c r="D22" i="9"/>
  <c r="L21" i="9"/>
  <c r="B22" i="9" s="1"/>
  <c r="J21" i="9"/>
  <c r="D21" i="9"/>
  <c r="L20" i="9"/>
  <c r="B21" i="9" s="1"/>
  <c r="J20" i="9"/>
  <c r="D20" i="9"/>
  <c r="L19" i="9"/>
  <c r="B20" i="9" s="1"/>
  <c r="E20" i="9" s="1"/>
  <c r="K20" i="9" s="1"/>
  <c r="G20" i="9" s="1"/>
  <c r="I20" i="9" s="1"/>
  <c r="J19" i="9"/>
  <c r="D19" i="9"/>
  <c r="L18" i="9"/>
  <c r="B19" i="9" s="1"/>
  <c r="J18" i="9"/>
  <c r="D18" i="9"/>
  <c r="L17" i="9"/>
  <c r="B18" i="9" s="1"/>
  <c r="E18" i="9" s="1"/>
  <c r="K18" i="9" s="1"/>
  <c r="G18" i="9" s="1"/>
  <c r="I18" i="9" s="1"/>
  <c r="J17" i="9"/>
  <c r="D17" i="9"/>
  <c r="L16" i="9"/>
  <c r="B17" i="9" s="1"/>
  <c r="E17" i="9" s="1"/>
  <c r="K17" i="9" s="1"/>
  <c r="G17" i="9" s="1"/>
  <c r="I17" i="9" s="1"/>
  <c r="J16" i="9"/>
  <c r="D16" i="9"/>
  <c r="L15" i="9"/>
  <c r="B16" i="9" s="1"/>
  <c r="E16" i="9" s="1"/>
  <c r="J15" i="9"/>
  <c r="D15" i="9"/>
  <c r="L14" i="9"/>
  <c r="B15" i="9" s="1"/>
  <c r="E15" i="9" s="1"/>
  <c r="K15" i="9" s="1"/>
  <c r="G15" i="9" s="1"/>
  <c r="I15" i="9" s="1"/>
  <c r="D14" i="9"/>
  <c r="L13" i="9"/>
  <c r="B14" i="9" s="1"/>
  <c r="D13" i="9"/>
  <c r="L12" i="9"/>
  <c r="B13" i="9" s="1"/>
  <c r="D12" i="9"/>
  <c r="B12" i="9"/>
  <c r="D23" i="2" l="1"/>
  <c r="E13" i="2"/>
  <c r="I13" i="2" s="1"/>
  <c r="G13" i="2" s="1"/>
  <c r="E15" i="2"/>
  <c r="I15" i="2" s="1"/>
  <c r="G15" i="2" s="1"/>
  <c r="E17" i="2"/>
  <c r="I17" i="2" s="1"/>
  <c r="G17" i="2" s="1"/>
  <c r="E19" i="2"/>
  <c r="I19" i="2" s="1"/>
  <c r="G19" i="2" s="1"/>
  <c r="E21" i="2"/>
  <c r="I21" i="2" s="1"/>
  <c r="G21" i="2" s="1"/>
  <c r="E23" i="2"/>
  <c r="H23" i="2"/>
  <c r="I12" i="2"/>
  <c r="G12" i="2" s="1"/>
  <c r="I18" i="2"/>
  <c r="G18" i="2" s="1"/>
  <c r="I22" i="2"/>
  <c r="G22" i="2" s="1"/>
  <c r="I14" i="2"/>
  <c r="G14" i="2" s="1"/>
  <c r="I16" i="2"/>
  <c r="G16" i="2" s="1"/>
  <c r="I20" i="2"/>
  <c r="G20" i="2" s="1"/>
  <c r="E11" i="2"/>
  <c r="I11" i="2" s="1"/>
  <c r="E24" i="9"/>
  <c r="J24" i="9"/>
  <c r="J8" i="9" s="1"/>
  <c r="E13" i="9"/>
  <c r="K13" i="9" s="1"/>
  <c r="G13" i="9" s="1"/>
  <c r="I13" i="9" s="1"/>
  <c r="E21" i="9"/>
  <c r="K21" i="9" s="1"/>
  <c r="G21" i="9" s="1"/>
  <c r="I21" i="9" s="1"/>
  <c r="D24" i="9"/>
  <c r="E19" i="9"/>
  <c r="K19" i="9" s="1"/>
  <c r="G19" i="9" s="1"/>
  <c r="I19" i="9" s="1"/>
  <c r="K16" i="9"/>
  <c r="G16" i="9" s="1"/>
  <c r="I16" i="9" s="1"/>
  <c r="E14" i="9"/>
  <c r="K14" i="9" s="1"/>
  <c r="G14" i="9" s="1"/>
  <c r="I14" i="9" s="1"/>
  <c r="E22" i="9"/>
  <c r="K22" i="9" s="1"/>
  <c r="G22" i="9" s="1"/>
  <c r="I22" i="9" s="1"/>
  <c r="E12" i="9"/>
  <c r="K12" i="9" s="1"/>
  <c r="G31" i="1"/>
  <c r="I23" i="2" l="1"/>
  <c r="G11" i="2"/>
  <c r="G23" i="2" s="1"/>
  <c r="K24" i="9"/>
  <c r="G12" i="9"/>
  <c r="I12" i="9" l="1"/>
  <c r="I24" i="9" s="1"/>
  <c r="G24" i="9"/>
  <c r="J26" i="1"/>
  <c r="G26" i="1" l="1"/>
  <c r="F15" i="1" l="1"/>
  <c r="N7" i="1" l="1"/>
  <c r="E27" i="1"/>
  <c r="O48" i="3" l="1"/>
  <c r="K48" i="3"/>
  <c r="G25" i="1" l="1"/>
  <c r="L25" i="1"/>
  <c r="J25" i="1" l="1"/>
  <c r="F28" i="1" l="1"/>
  <c r="L24" i="1" l="1"/>
  <c r="L27" i="1" s="1"/>
  <c r="G24" i="1"/>
  <c r="G27" i="1" s="1"/>
  <c r="H27" i="1" s="1"/>
  <c r="M27" i="1" s="1"/>
  <c r="J24" i="1" l="1"/>
  <c r="J27" i="1" s="1"/>
  <c r="K27" i="1" s="1"/>
  <c r="L22" i="1" l="1"/>
  <c r="G22" i="1"/>
  <c r="J22" i="1" l="1"/>
  <c r="G21" i="1" l="1"/>
  <c r="E23" i="1"/>
  <c r="L16" i="1"/>
  <c r="L14" i="1"/>
  <c r="L13" i="1"/>
  <c r="L12" i="1"/>
  <c r="G16" i="1"/>
  <c r="G14" i="1"/>
  <c r="G13" i="1"/>
  <c r="G12" i="1"/>
  <c r="L21" i="1" l="1"/>
  <c r="J21" i="1" l="1"/>
  <c r="D49" i="3" l="1"/>
  <c r="E49" i="3"/>
  <c r="H49" i="3" s="1"/>
  <c r="N49" i="3" s="1"/>
  <c r="L49" i="3" s="1"/>
  <c r="B36" i="3"/>
  <c r="E36" i="3" s="1"/>
  <c r="I36" i="3" s="1"/>
  <c r="G36" i="3" s="1"/>
  <c r="B23" i="3"/>
  <c r="E23" i="3" s="1"/>
  <c r="I23" i="3" s="1"/>
  <c r="G23" i="3" s="1"/>
  <c r="B9" i="3"/>
  <c r="E9" i="3" s="1"/>
  <c r="J9" i="3" s="1"/>
  <c r="I9" i="3" s="1"/>
  <c r="L20" i="1" l="1"/>
  <c r="L23" i="1" s="1"/>
  <c r="G20" i="1" l="1"/>
  <c r="G23" i="1" s="1"/>
  <c r="H23" i="1" l="1"/>
  <c r="M23" i="1" s="1"/>
  <c r="J20" i="1"/>
  <c r="J23" i="1" s="1"/>
  <c r="K23" i="1" l="1"/>
  <c r="B9" i="9" l="1"/>
  <c r="E9" i="9" s="1"/>
  <c r="K9" i="9" s="1"/>
  <c r="G9" i="9" s="1"/>
  <c r="I9" i="9" s="1"/>
  <c r="B8" i="2"/>
  <c r="E8" i="2" s="1"/>
  <c r="I8" i="2" s="1"/>
  <c r="G8" i="2" s="1"/>
  <c r="D8" i="1"/>
  <c r="E8" i="1"/>
  <c r="H8" i="1" l="1"/>
  <c r="M8" i="1" s="1"/>
  <c r="K8" i="1" s="1"/>
  <c r="J18" i="1" l="1"/>
  <c r="L18" i="1" l="1"/>
  <c r="G18" i="1"/>
  <c r="E19" i="1" l="1"/>
  <c r="L17" i="1" l="1"/>
  <c r="G17" i="1"/>
  <c r="J13" i="1" l="1"/>
  <c r="J17" i="1" l="1"/>
  <c r="B53" i="3" l="1"/>
  <c r="L19" i="1" l="1"/>
  <c r="G19" i="1"/>
  <c r="H19" i="1" s="1"/>
  <c r="M19" i="1" s="1"/>
  <c r="J16" i="1" l="1"/>
  <c r="J19" i="1" s="1"/>
  <c r="K19" i="1" l="1"/>
  <c r="G21" i="6" l="1"/>
  <c r="J14" i="1" l="1"/>
  <c r="L15" i="1" l="1"/>
  <c r="L28" i="1" s="1"/>
  <c r="L7" i="1" s="1"/>
  <c r="G15" i="1"/>
  <c r="G28" i="1" s="1"/>
  <c r="G7" i="1" l="1"/>
  <c r="H28" i="1"/>
  <c r="J12" i="1"/>
  <c r="J15" i="1" s="1"/>
  <c r="J28" i="1" s="1"/>
  <c r="J7" i="1" s="1"/>
  <c r="F7" i="1"/>
  <c r="D7" i="1" s="1"/>
  <c r="H15" i="1"/>
  <c r="E27" i="9" l="1"/>
  <c r="K27" i="9" s="1"/>
  <c r="M15" i="1"/>
  <c r="M28" i="1" s="1"/>
  <c r="E26" i="2"/>
  <c r="I26" i="2" s="1"/>
  <c r="B7" i="2"/>
  <c r="B40" i="1"/>
  <c r="G26" i="2" l="1"/>
  <c r="K15" i="1"/>
  <c r="K28" i="1" s="1"/>
  <c r="G27" i="9"/>
  <c r="K47" i="3" l="1"/>
  <c r="E48" i="3" l="1"/>
  <c r="H48" i="3" s="1"/>
  <c r="N48" i="3" s="1"/>
  <c r="L48" i="3" s="1"/>
  <c r="H47" i="3"/>
  <c r="N47" i="3" s="1"/>
  <c r="L47" i="3" s="1"/>
  <c r="D48" i="3"/>
  <c r="D47" i="3"/>
  <c r="B35" i="3"/>
  <c r="E35" i="3" s="1"/>
  <c r="I35" i="3" s="1"/>
  <c r="G35" i="3" s="1"/>
  <c r="E34" i="3"/>
  <c r="I34" i="3" s="1"/>
  <c r="G34" i="3" s="1"/>
  <c r="B22" i="3"/>
  <c r="E22" i="3" s="1"/>
  <c r="I22" i="3" s="1"/>
  <c r="G22" i="3" s="1"/>
  <c r="E21" i="3"/>
  <c r="I21" i="3" s="1"/>
  <c r="G21" i="3" s="1"/>
  <c r="B8" i="3"/>
  <c r="E8" i="3" s="1"/>
  <c r="J8" i="3" s="1"/>
  <c r="I8" i="3" s="1"/>
  <c r="E7" i="3"/>
  <c r="J7" i="3" s="1"/>
  <c r="I7" i="3" s="1"/>
  <c r="B8" i="9" l="1"/>
  <c r="E8" i="9" s="1"/>
  <c r="K8" i="9" s="1"/>
  <c r="G8" i="9" s="1"/>
  <c r="I8" i="9" s="1"/>
  <c r="E7" i="1"/>
  <c r="H7" i="1" s="1"/>
  <c r="M7" i="1" s="1"/>
  <c r="K7" i="1" s="1"/>
  <c r="E7" i="2"/>
  <c r="I7" i="2" s="1"/>
  <c r="G7" i="2" s="1"/>
  <c r="D6" i="1"/>
  <c r="E7" i="9" l="1"/>
  <c r="K7" i="9" s="1"/>
  <c r="G7" i="9" s="1"/>
  <c r="I7" i="9" s="1"/>
  <c r="E6" i="2" l="1"/>
  <c r="I6" i="2" s="1"/>
  <c r="G6" i="2" s="1"/>
  <c r="H6" i="1" l="1"/>
  <c r="M6" i="1" s="1"/>
  <c r="B41" i="6"/>
  <c r="B40" i="5"/>
  <c r="B40" i="4"/>
  <c r="B33" i="9"/>
  <c r="B32" i="2"/>
  <c r="A5" i="10"/>
  <c r="K6" i="1" l="1"/>
</calcChain>
</file>

<file path=xl/sharedStrings.xml><?xml version="1.0" encoding="utf-8"?>
<sst xmlns="http://schemas.openxmlformats.org/spreadsheetml/2006/main" count="535" uniqueCount="240">
  <si>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</si>
  <si>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</si>
  <si>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</si>
  <si>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</si>
  <si>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</si>
  <si>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</si>
  <si>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</si>
  <si>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</si>
  <si>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</si>
  <si>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</si>
  <si>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</si>
  <si>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</si>
  <si>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</si>
  <si>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</si>
  <si>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</si>
  <si>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</si>
  <si>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</si>
  <si>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</si>
  <si>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</si>
  <si>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</si>
  <si>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</si>
  <si>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</si>
  <si>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</si>
  <si>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</si>
  <si>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</si>
  <si>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</si>
  <si>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</si>
  <si>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</si>
  <si>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</si>
  <si>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</si>
  <si>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</si>
  <si>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</si>
  <si>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</si>
  <si>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</si>
  <si>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</si>
  <si>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</si>
  <si>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</si>
  <si>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</si>
  <si>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</si>
  <si>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</si>
  <si>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</si>
  <si>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</si>
  <si>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</si>
  <si>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</si>
  <si>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</si>
  <si>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</si>
  <si>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</si>
  <si>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</si>
  <si>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</si>
  <si>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</si>
  <si>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</si>
  <si>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</si>
  <si>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</si>
  <si>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</si>
  <si>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</si>
  <si>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</si>
  <si>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</si>
  <si>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</si>
  <si>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</si>
  <si>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</si>
  <si>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</si>
  <si>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</si>
  <si>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</si>
  <si>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</si>
  <si>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</si>
  <si>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</si>
  <si>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</si>
  <si>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</si>
  <si>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</si>
  <si>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</si>
  <si>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</si>
  <si>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</si>
  <si>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</si>
  <si>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</si>
  <si>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>Year beginning</t>
  </si>
  <si>
    <t>October 1</t>
  </si>
  <si>
    <t>August 1</t>
  </si>
  <si>
    <t xml:space="preserve">$/short ton  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</si>
  <si>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</si>
  <si>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</si>
  <si>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</si>
  <si>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</si>
  <si>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</si>
  <si>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</si>
  <si>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</si>
  <si>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</si>
  <si>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</si>
  <si>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</si>
  <si>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</si>
  <si>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</si>
  <si>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</si>
  <si>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</si>
  <si>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</si>
  <si>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</si>
  <si>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</si>
  <si>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</si>
  <si>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</si>
  <si>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</si>
  <si>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</si>
  <si>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</si>
  <si>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</si>
  <si>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</si>
  <si>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</si>
  <si>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</si>
  <si>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</si>
  <si>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</si>
  <si>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</si>
  <si>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</si>
  <si>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</si>
  <si>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</si>
  <si>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</si>
  <si>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</si>
  <si>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</si>
  <si>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</si>
  <si>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</si>
  <si>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</si>
  <si>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</si>
  <si>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</si>
  <si>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</si>
  <si>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</si>
  <si>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</si>
  <si>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</si>
  <si>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</si>
  <si>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</si>
  <si>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</si>
  <si>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</si>
  <si>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</si>
  <si>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</si>
  <si>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</si>
  <si>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</si>
  <si>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</si>
  <si>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</si>
  <si>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</si>
  <si>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</si>
  <si>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</si>
  <si>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</si>
  <si>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</si>
  <si>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</si>
  <si>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</si>
  <si>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</si>
  <si>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</si>
  <si>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t>2018/19</t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</si>
  <si>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</si>
  <si>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</si>
  <si>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</si>
  <si>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</si>
  <si>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>Table 1--Soybeans: Annual U.S. supply and disappearance</t>
  </si>
  <si>
    <t>Table 2--Soybean meal: U.S. supply and disappearance</t>
  </si>
  <si>
    <t>Table 3--Soybean oil: U.S. supply and disappearance</t>
  </si>
  <si>
    <t>Table 4--Cottonseed: U.S. supply and disappearance</t>
  </si>
  <si>
    <t>Table 5--Cottonseed meal: U.S. supply and disappearance</t>
  </si>
  <si>
    <t>Table 6--Cottonseed oil: U.S. supply and disappearance</t>
  </si>
  <si>
    <t>Table 7--Peanuts: U.S. supply and disappearance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</si>
  <si>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</si>
  <si>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</si>
  <si>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2,204.622 pounds. NA: Not available.</t>
    </r>
  </si>
  <si>
    <r>
      <t>2020/21</t>
    </r>
    <r>
      <rPr>
        <vertAlign val="superscript"/>
        <sz val="11"/>
        <rFont val="Arial"/>
        <family val="2"/>
      </rPr>
      <t>2</t>
    </r>
  </si>
  <si>
    <r>
      <t>2020/21</t>
    </r>
    <r>
      <rPr>
        <vertAlign val="superscript"/>
        <sz val="11"/>
        <rFont val="Arial"/>
        <family val="2"/>
      </rPr>
      <t>1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</si>
  <si>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Processing, </t>
    </r>
    <r>
      <rPr>
        <sz val="11"/>
        <rFont val="Arial"/>
        <family val="2"/>
      </rPr>
      <t>and U.S. Department of Commerce,</t>
    </r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</si>
  <si>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 Online.</t>
    </r>
  </si>
  <si>
    <r>
      <t xml:space="preserve">Sources: USDA, Agricultural Marketing Service,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</si>
  <si>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t>cwt = hundredweight.</t>
  </si>
  <si>
    <t xml:space="preserve">Contact: Mark Ash 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</si>
  <si>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Bureau of the Census,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</si>
  <si>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</si>
  <si>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 xml:space="preserve"> June</t>
  </si>
  <si>
    <t xml:space="preserve"> July</t>
  </si>
  <si>
    <t xml:space="preserve"> August</t>
  </si>
  <si>
    <t>2020/21</t>
  </si>
  <si>
    <t>Total to date</t>
  </si>
  <si>
    <t>1,000 metric ton</t>
  </si>
  <si>
    <t>Argentina</t>
  </si>
  <si>
    <t>Soybean stocks</t>
  </si>
  <si>
    <t>Million bushels</t>
  </si>
  <si>
    <t xml:space="preserve"> June-August</t>
  </si>
  <si>
    <t>Soybean</t>
  </si>
  <si>
    <t>export sales</t>
  </si>
  <si>
    <t>Sep 3</t>
  </si>
  <si>
    <t>Sep 10</t>
  </si>
  <si>
    <t>Sep 17</t>
  </si>
  <si>
    <t>Sep 24</t>
  </si>
  <si>
    <t>Oct 1</t>
  </si>
  <si>
    <t>Oct 8</t>
  </si>
  <si>
    <t>Oct 15</t>
  </si>
  <si>
    <t>Oct 22</t>
  </si>
  <si>
    <t>Oct 29</t>
  </si>
  <si>
    <t>Nov 5</t>
  </si>
  <si>
    <t>Nov 12</t>
  </si>
  <si>
    <t>Nov 19</t>
  </si>
  <si>
    <t>Nov 26</t>
  </si>
  <si>
    <t>Dec 3</t>
  </si>
  <si>
    <t>Dec 10</t>
  </si>
  <si>
    <t>Dec 17</t>
  </si>
  <si>
    <t>Dec 24</t>
  </si>
  <si>
    <t>Dec 31</t>
  </si>
  <si>
    <t>Jan 7</t>
  </si>
  <si>
    <t>Jan 14</t>
  </si>
  <si>
    <t>Jan 21</t>
  </si>
  <si>
    <t>Jan 28</t>
  </si>
  <si>
    <t>Feb 4</t>
  </si>
  <si>
    <t>Feb 11</t>
  </si>
  <si>
    <t>Feb 18</t>
  </si>
  <si>
    <t>Feb 25</t>
  </si>
  <si>
    <t>Mar 4</t>
  </si>
  <si>
    <t>Mar 11</t>
  </si>
  <si>
    <t>Mar 18</t>
  </si>
  <si>
    <t>Mar 25</t>
  </si>
  <si>
    <t>Apr 1</t>
  </si>
  <si>
    <t>Apr 8</t>
  </si>
  <si>
    <t>Apr 15</t>
  </si>
  <si>
    <t>Apr 22</t>
  </si>
  <si>
    <t>Apr 29</t>
  </si>
  <si>
    <t>May 6</t>
  </si>
  <si>
    <t>May 13</t>
  </si>
  <si>
    <t>May 20</t>
  </si>
  <si>
    <t>May 27</t>
  </si>
  <si>
    <t>Jun 3</t>
  </si>
  <si>
    <t>Jun 10</t>
  </si>
  <si>
    <t>Jun 17</t>
  </si>
  <si>
    <t>Jun 24</t>
  </si>
  <si>
    <t>Jul 1</t>
  </si>
  <si>
    <t>Jul 8</t>
  </si>
  <si>
    <t>Jul 15</t>
  </si>
  <si>
    <t>Jul 22</t>
  </si>
  <si>
    <t>Jul 29</t>
  </si>
  <si>
    <t>Aug 5</t>
  </si>
  <si>
    <t>Aug 12</t>
  </si>
  <si>
    <t>Aug 19</t>
  </si>
  <si>
    <t>Aug 26</t>
  </si>
  <si>
    <t>Cumulative</t>
  </si>
  <si>
    <t>shipments</t>
  </si>
  <si>
    <t>Outstanding</t>
  </si>
  <si>
    <t>sales</t>
  </si>
  <si>
    <t>Soybean exports</t>
  </si>
  <si>
    <t>U.S.</t>
  </si>
  <si>
    <t>Brazil</t>
  </si>
  <si>
    <t>$/bushel</t>
  </si>
  <si>
    <t>U.S. Gulf</t>
  </si>
  <si>
    <t>Central Illinois</t>
  </si>
  <si>
    <t>processors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</si>
</sst>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#,##0.0"/>
    <numFmt numFmtId="171" formatCode="[$-409]mmm\-yy;@"/>
    <numFmt numFmtId="172" formatCode="0.0000"/>
    <numFmt numFmtId="173" formatCode="[$-409]d\-mmm;@"/>
    <numFmt numFmtId="174" formatCode="0_)"/>
    <numFmt numFmtId="175" formatCode="#,##0.000"/>
    <numFmt numFmtId="176" formatCode="mmm\-yyyy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71" fontId="2" fillId="0" borderId="0" xfId="0" quotePrefix="1" applyNumberFormat="1" applyFont="1"/>
    <xf numFmtId="170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0" fontId="13" fillId="0" borderId="0" xfId="1" applyNumberFormat="1" applyFont="1" applyBorder="1" applyAlignment="1">
      <alignment horizontal="right" indent="1"/>
    </xf>
    <xf numFmtId="170" fontId="13" fillId="0" borderId="0" xfId="1" applyNumberFormat="1" applyFont="1" applyBorder="1" applyAlignment="1">
      <alignment horizontal="right"/>
    </xf>
    <xf numFmtId="170" fontId="13" fillId="0" borderId="0" xfId="1" quotePrefix="1" applyNumberFormat="1" applyFont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0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0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0" fontId="13" fillId="0" borderId="0" xfId="1" applyNumberFormat="1" applyFont="1" applyBorder="1" applyAlignment="1">
      <alignment horizontal="center"/>
    </xf>
    <xf numFmtId="170" fontId="13" fillId="0" borderId="0" xfId="1" applyNumberFormat="1" applyFont="1" applyBorder="1" applyAlignment="1">
      <alignment horizontal="right" indent="2"/>
    </xf>
    <xf numFmtId="170" fontId="13" fillId="0" borderId="0" xfId="1" applyNumberFormat="1" applyFont="1" applyAlignment="1">
      <alignment horizontal="right" indent="1"/>
    </xf>
    <xf numFmtId="170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0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2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167" fontId="0" fillId="0" borderId="0" xfId="12" applyNumberFormat="1" applyFont="1"/>
    <xf numFmtId="0" fontId="2" fillId="0" borderId="1" xfId="0" applyFont="1" applyBorder="1"/>
    <xf numFmtId="170" fontId="13" fillId="0" borderId="1" xfId="1" applyNumberFormat="1" applyFont="1" applyBorder="1" applyAlignment="1">
      <alignment horizontal="right"/>
    </xf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0" fontId="2" fillId="0" borderId="0" xfId="0" applyFont="1" applyBorder="1"/>
    <xf numFmtId="0" fontId="1" fillId="0" borderId="0" xfId="0" applyFont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0" fontId="1" fillId="0" borderId="0" xfId="0" applyFont="1" applyBorder="1"/>
    <xf numFmtId="3" fontId="1" fillId="0" borderId="0" xfId="12" applyNumberFormat="1" applyFont="1"/>
    <xf numFmtId="2" fontId="1" fillId="0" borderId="0" xfId="0" applyNumberFormat="1" applyFont="1"/>
    <xf numFmtId="2" fontId="0" fillId="0" borderId="0" xfId="0" applyNumberFormat="1" applyBorder="1"/>
    <xf numFmtId="173" fontId="0" fillId="0" borderId="0" xfId="0" applyNumberFormat="1" applyBorder="1"/>
    <xf numFmtId="170" fontId="13" fillId="0" borderId="0" xfId="0" applyNumberFormat="1" applyFont="1" applyBorder="1"/>
    <xf numFmtId="174" fontId="0" fillId="0" borderId="0" xfId="0" quotePrefix="1" applyNumberFormat="1" applyAlignment="1" applyProtection="1">
      <alignment horizontal="right"/>
    </xf>
    <xf numFmtId="164" fontId="0" fillId="0" borderId="0" xfId="1" applyNumberFormat="1" applyFont="1" applyProtection="1"/>
    <xf numFmtId="170" fontId="0" fillId="0" borderId="0" xfId="0" applyNumberFormat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right" indent="1"/>
    </xf>
    <xf numFmtId="3" fontId="5" fillId="0" borderId="0" xfId="0" applyNumberFormat="1" applyFont="1"/>
    <xf numFmtId="9" fontId="13" fillId="0" borderId="0" xfId="12" applyFont="1"/>
    <xf numFmtId="175" fontId="5" fillId="0" borderId="0" xfId="0" applyNumberFormat="1" applyFont="1"/>
    <xf numFmtId="170" fontId="5" fillId="0" borderId="0" xfId="0" applyNumberFormat="1" applyFont="1"/>
    <xf numFmtId="164" fontId="1" fillId="0" borderId="0" xfId="1" applyNumberFormat="1" applyFont="1" applyProtection="1"/>
    <xf numFmtId="37" fontId="19" fillId="0" borderId="0" xfId="0" applyNumberFormat="1" applyFont="1"/>
    <xf numFmtId="171" fontId="1" fillId="0" borderId="0" xfId="0" applyNumberFormat="1" applyFont="1"/>
    <xf numFmtId="165" fontId="5" fillId="0" borderId="0" xfId="1" applyNumberFormat="1" applyFont="1"/>
    <xf numFmtId="165" fontId="1" fillId="0" borderId="0" xfId="1" applyNumberFormat="1" applyFont="1"/>
    <xf numFmtId="164" fontId="13" fillId="0" borderId="1" xfId="1" applyNumberFormat="1" applyFont="1" applyBorder="1" applyAlignment="1">
      <alignment horizontal="center"/>
    </xf>
    <xf numFmtId="164" fontId="13" fillId="0" borderId="1" xfId="1" quotePrefix="1" applyNumberFormat="1" applyFont="1" applyBorder="1" applyAlignment="1">
      <alignment horizontal="center"/>
    </xf>
    <xf numFmtId="176" fontId="0" fillId="0" borderId="0" xfId="0" applyNumberFormat="1"/>
    <xf numFmtId="170" fontId="13" fillId="0" borderId="1" xfId="1" quotePrefix="1" applyNumberFormat="1" applyFont="1" applyBorder="1" applyAlignment="1">
      <alignment horizontal="right"/>
    </xf>
    <xf numFmtId="37" fontId="19" fillId="0" borderId="0" xfId="0" quotePrefix="1" applyNumberFormat="1" applyFont="1"/>
    <xf numFmtId="170" fontId="13" fillId="0" borderId="1" xfId="1" applyNumberFormat="1" applyFont="1" applyFill="1" applyBorder="1" applyAlignment="1">
      <alignment horizontal="right"/>
    </xf>
    <xf numFmtId="170" fontId="13" fillId="0" borderId="0" xfId="1" applyNumberFormat="1" applyFont="1"/>
    <xf numFmtId="170" fontId="13" fillId="0" borderId="0" xfId="0" applyNumberFormat="1" applyFont="1"/>
    <xf numFmtId="170" fontId="13" fillId="0" borderId="0" xfId="1" applyNumberFormat="1" applyFont="1" applyProtection="1"/>
    <xf numFmtId="43" fontId="5" fillId="0" borderId="0" xfId="1" applyNumberFormat="1" applyFont="1"/>
    <xf numFmtId="43" fontId="5" fillId="0" borderId="0" xfId="0" applyNumberFormat="1" applyFont="1"/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 xr:uid="{00000000-0005-0000-0000-000001000000}"/>
    <cellStyle name="Comma 3" xfId="3" xr:uid="{00000000-0005-0000-0000-000002000000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Percent" xfId="12" builtinId="5"/>
  </cellStyles>
  <dxfs count="0"/>
  <tableStyles count="0" defaultTableStyle="TableStyleMedium9" defaultPivotStyle="PivotStyleLight16"/>
  <colors>
    <mruColors>
      <color rgb="FF0000FF"/>
      <color rgb="FFFFCF01"/>
      <color rgb="FF00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800" b="0"/>
              <a:t>Figure 1</a:t>
            </a:r>
          </a:p>
          <a:p>
            <a:pPr algn="l">
              <a:defRPr/>
            </a:pPr>
            <a:r>
              <a:rPr lang="en-US" sz="1050" b="1" baseline="0"/>
              <a:t>Costs of U.S. soybeans swell for both export and domestic users with fast-shrinking stocks</a:t>
            </a:r>
            <a:endParaRPr lang="en-US" sz="1050" b="1"/>
          </a:p>
        </c:rich>
      </c:tx>
      <c:layout>
        <c:manualLayout>
          <c:xMode val="edge"/>
          <c:yMode val="edge"/>
          <c:x val="3.8857426475536715E-2"/>
          <c:y val="1.8854786008891882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58876532186054"/>
          <c:w val="0.72607747510518172"/>
          <c:h val="0.6557910876144708"/>
        </c:manualLayout>
      </c:layout>
      <c:lineChart>
        <c:grouping val="standard"/>
        <c:varyColors val="0"/>
        <c:ser>
          <c:idx val="1"/>
          <c:order val="0"/>
          <c:tx>
            <c:strRef>
              <c:f>Cover!$B$1:$B$2</c:f>
              <c:strCache>
                <c:ptCount val="2"/>
                <c:pt idx="0">
                  <c:v>Central Illinois</c:v>
                </c:pt>
                <c:pt idx="1">
                  <c:v> processors </c:v>
                </c:pt>
              </c:strCache>
            </c:strRef>
          </c:tx>
          <c:spPr>
            <a:ln>
              <a:solidFill>
                <a:srgbClr val="FFC000"/>
              </a:solidFill>
              <a:prstDash val="dash"/>
            </a:ln>
          </c:spPr>
          <c:marker>
            <c:symbol val="none"/>
          </c:marker>
          <c:cat>
            <c:numRef>
              <c:f>Cover!$A$4:$A$20</c:f>
              <c:numCache>
                <c:formatCode>mmm\-yyyy</c:formatCode>
                <c:ptCount val="17"/>
                <c:pt idx="0">
                  <c:v>43727</c:v>
                </c:pt>
                <c:pt idx="1">
                  <c:v>43757</c:v>
                </c:pt>
                <c:pt idx="2">
                  <c:v>43788</c:v>
                </c:pt>
                <c:pt idx="3">
                  <c:v>43818</c:v>
                </c:pt>
                <c:pt idx="4">
                  <c:v>43849</c:v>
                </c:pt>
                <c:pt idx="5">
                  <c:v>43880</c:v>
                </c:pt>
                <c:pt idx="6">
                  <c:v>43909</c:v>
                </c:pt>
                <c:pt idx="7">
                  <c:v>43940</c:v>
                </c:pt>
                <c:pt idx="8">
                  <c:v>43970</c:v>
                </c:pt>
                <c:pt idx="9">
                  <c:v>44001</c:v>
                </c:pt>
                <c:pt idx="10">
                  <c:v>44031</c:v>
                </c:pt>
                <c:pt idx="11">
                  <c:v>44062</c:v>
                </c:pt>
                <c:pt idx="12">
                  <c:v>44093</c:v>
                </c:pt>
                <c:pt idx="13">
                  <c:v>44123</c:v>
                </c:pt>
                <c:pt idx="14">
                  <c:v>44154</c:v>
                </c:pt>
                <c:pt idx="15">
                  <c:v>44184</c:v>
                </c:pt>
                <c:pt idx="16">
                  <c:v>44215</c:v>
                </c:pt>
              </c:numCache>
            </c:numRef>
          </c:cat>
          <c:val>
            <c:numRef>
              <c:f>Cover!$B$4:$B$20</c:f>
              <c:numCache>
                <c:formatCode>_(* #,##0.00_);_(* \(#,##0.00\);_(* "-"??_);_(@_)</c:formatCode>
                <c:ptCount val="17"/>
                <c:pt idx="0">
                  <c:v>8.57</c:v>
                </c:pt>
                <c:pt idx="1">
                  <c:v>9.07</c:v>
                </c:pt>
                <c:pt idx="2">
                  <c:v>9.1300000000000008</c:v>
                </c:pt>
                <c:pt idx="3">
                  <c:v>9.25</c:v>
                </c:pt>
                <c:pt idx="4">
                  <c:v>9.27</c:v>
                </c:pt>
                <c:pt idx="5">
                  <c:v>8.9600000000000009</c:v>
                </c:pt>
                <c:pt idx="6">
                  <c:v>8.11</c:v>
                </c:pt>
                <c:pt idx="7">
                  <c:v>8.5399999999999991</c:v>
                </c:pt>
                <c:pt idx="8">
                  <c:v>8.48</c:v>
                </c:pt>
                <c:pt idx="9">
                  <c:v>8.74</c:v>
                </c:pt>
                <c:pt idx="10">
                  <c:v>8.9499999999999993</c:v>
                </c:pt>
                <c:pt idx="11">
                  <c:v>8.8800000000000008</c:v>
                </c:pt>
                <c:pt idx="12">
                  <c:v>9.98</c:v>
                </c:pt>
                <c:pt idx="13">
                  <c:v>10.53</c:v>
                </c:pt>
                <c:pt idx="14">
                  <c:v>11.43</c:v>
                </c:pt>
                <c:pt idx="15">
                  <c:v>12.18</c:v>
                </c:pt>
                <c:pt idx="16">
                  <c:v>13.84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05-47D0-B287-D695DF38B44A}"/>
            </c:ext>
          </c:extLst>
        </c:ser>
        <c:ser>
          <c:idx val="0"/>
          <c:order val="1"/>
          <c:tx>
            <c:strRef>
              <c:f>Cover!$C$1</c:f>
              <c:strCache>
                <c:ptCount val="1"/>
                <c:pt idx="0">
                  <c:v>U.S. Gulf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Cover!$A$4:$A$20</c:f>
              <c:numCache>
                <c:formatCode>mmm\-yyyy</c:formatCode>
                <c:ptCount val="17"/>
                <c:pt idx="0">
                  <c:v>43727</c:v>
                </c:pt>
                <c:pt idx="1">
                  <c:v>43757</c:v>
                </c:pt>
                <c:pt idx="2">
                  <c:v>43788</c:v>
                </c:pt>
                <c:pt idx="3">
                  <c:v>43818</c:v>
                </c:pt>
                <c:pt idx="4">
                  <c:v>43849</c:v>
                </c:pt>
                <c:pt idx="5">
                  <c:v>43880</c:v>
                </c:pt>
                <c:pt idx="6">
                  <c:v>43909</c:v>
                </c:pt>
                <c:pt idx="7">
                  <c:v>43940</c:v>
                </c:pt>
                <c:pt idx="8">
                  <c:v>43970</c:v>
                </c:pt>
                <c:pt idx="9">
                  <c:v>44001</c:v>
                </c:pt>
                <c:pt idx="10">
                  <c:v>44031</c:v>
                </c:pt>
                <c:pt idx="11">
                  <c:v>44062</c:v>
                </c:pt>
                <c:pt idx="12">
                  <c:v>44093</c:v>
                </c:pt>
                <c:pt idx="13">
                  <c:v>44123</c:v>
                </c:pt>
                <c:pt idx="14">
                  <c:v>44154</c:v>
                </c:pt>
                <c:pt idx="15">
                  <c:v>44184</c:v>
                </c:pt>
                <c:pt idx="16">
                  <c:v>44215</c:v>
                </c:pt>
              </c:numCache>
            </c:numRef>
          </c:cat>
          <c:val>
            <c:numRef>
              <c:f>Cover!$C$4:$C$20</c:f>
              <c:numCache>
                <c:formatCode>_(* #,##0.00_);_(* \(#,##0.00\);_(* "-"??_);_(@_)</c:formatCode>
                <c:ptCount val="17"/>
                <c:pt idx="0">
                  <c:v>9.01</c:v>
                </c:pt>
                <c:pt idx="1">
                  <c:v>9.59</c:v>
                </c:pt>
                <c:pt idx="2">
                  <c:v>9.5500000000000007</c:v>
                </c:pt>
                <c:pt idx="3">
                  <c:v>9.6999999999999993</c:v>
                </c:pt>
                <c:pt idx="4">
                  <c:v>9.74</c:v>
                </c:pt>
                <c:pt idx="5">
                  <c:v>9.4</c:v>
                </c:pt>
                <c:pt idx="6">
                  <c:v>9.24</c:v>
                </c:pt>
                <c:pt idx="7">
                  <c:v>8.98</c:v>
                </c:pt>
                <c:pt idx="8">
                  <c:v>8.9600000000000009</c:v>
                </c:pt>
                <c:pt idx="9">
                  <c:v>9.26</c:v>
                </c:pt>
                <c:pt idx="10">
                  <c:v>9.6</c:v>
                </c:pt>
                <c:pt idx="11">
                  <c:v>9.82</c:v>
                </c:pt>
                <c:pt idx="12">
                  <c:v>10.68</c:v>
                </c:pt>
                <c:pt idx="13">
                  <c:v>11.36</c:v>
                </c:pt>
                <c:pt idx="14">
                  <c:v>12.13</c:v>
                </c:pt>
                <c:pt idx="15">
                  <c:v>12.76</c:v>
                </c:pt>
                <c:pt idx="16">
                  <c:v>14.49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AD-4DD1-A14F-525175742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6960144"/>
        <c:axId val="-494674736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USDA, </a:t>
                </a:r>
                <a:r>
                  <a:rPr lang="en-US" sz="800" i="0"/>
                  <a:t>Agricultural Marketing Service</a:t>
                </a:r>
                <a:r>
                  <a:rPr lang="en-US" sz="800" i="1"/>
                  <a:t>, Central Illinois Soybean Processor Bids </a:t>
                </a:r>
                <a:r>
                  <a:rPr lang="en-US" sz="800" i="0"/>
                  <a:t>and </a:t>
                </a:r>
                <a:r>
                  <a:rPr lang="en-US" sz="800" i="1"/>
                  <a:t>Louisiana and Texas Gulf Export Bids</a:t>
                </a:r>
                <a:r>
                  <a:rPr lang="en-US" sz="800" b="0" i="1" u="none" strike="noStrike" baseline="0">
                    <a:effectLst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7.5507604818628435E-2"/>
              <c:y val="0.95635625903904886"/>
            </c:manualLayout>
          </c:layout>
          <c:overlay val="0"/>
        </c:title>
        <c:numFmt formatCode="mmm\-yyyy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TimeUnit val="months"/>
        <c:minorTimeUnit val="months"/>
      </c:dateAx>
      <c:valAx>
        <c:axId val="-494674736"/>
        <c:scaling>
          <c:orientation val="minMax"/>
          <c:max val="16"/>
          <c:min val="6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Dollars per bushel</a:t>
                </a:r>
              </a:p>
            </c:rich>
          </c:tx>
          <c:layout>
            <c:manualLayout>
              <c:xMode val="edge"/>
              <c:yMode val="edge"/>
              <c:x val="3.9534457231307628E-2"/>
              <c:y val="0.12069269691803988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2"/>
        <c:minorUnit val="1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5936637727976313"/>
          <c:y val="0.87391772457014305"/>
          <c:w val="0.56740510801534427"/>
          <c:h val="7.377952755905511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800" b="0"/>
              <a:t>Figure 2</a:t>
            </a:r>
          </a:p>
          <a:p>
            <a:pPr algn="l">
              <a:defRPr/>
            </a:pPr>
            <a:r>
              <a:rPr lang="en-US" sz="1050" b="1" i="0" u="none" strike="noStrike" baseline="0">
                <a:effectLst/>
              </a:rPr>
              <a:t>2020/21 soybean shipments are brisk but plunging outstanding U.S. export sales signal a slowing</a:t>
            </a:r>
            <a:endParaRPr lang="en-US" sz="1050" b="1"/>
          </a:p>
        </c:rich>
      </c:tx>
      <c:layout>
        <c:manualLayout>
          <c:xMode val="edge"/>
          <c:yMode val="edge"/>
          <c:x val="4.0994178612288851E-2"/>
          <c:y val="3.29201157547614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58876532186054"/>
          <c:w val="0.72607747510518172"/>
          <c:h val="0.655791087614470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'Oil Crops Chart Gallery Fig 1'!$B$1:$B$3</c:f>
              <c:strCache>
                <c:ptCount val="3"/>
                <c:pt idx="0">
                  <c:v>2019/20</c:v>
                </c:pt>
                <c:pt idx="1">
                  <c:v>Cumulative</c:v>
                </c:pt>
                <c:pt idx="2">
                  <c:v>shipments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1'!$A$5:$A$56</c:f>
              <c:strCache>
                <c:ptCount val="52"/>
                <c:pt idx="0">
                  <c:v>Sep 3</c:v>
                </c:pt>
                <c:pt idx="1">
                  <c:v>Sep 10</c:v>
                </c:pt>
                <c:pt idx="2">
                  <c:v>Sep 17</c:v>
                </c:pt>
                <c:pt idx="3">
                  <c:v>Sep 24</c:v>
                </c:pt>
                <c:pt idx="4">
                  <c:v>Oct 1</c:v>
                </c:pt>
                <c:pt idx="5">
                  <c:v>Oct 8</c:v>
                </c:pt>
                <c:pt idx="6">
                  <c:v>Oct 15</c:v>
                </c:pt>
                <c:pt idx="7">
                  <c:v>Oct 22</c:v>
                </c:pt>
                <c:pt idx="8">
                  <c:v>Oct 29</c:v>
                </c:pt>
                <c:pt idx="9">
                  <c:v>Nov 5</c:v>
                </c:pt>
                <c:pt idx="10">
                  <c:v>Nov 12</c:v>
                </c:pt>
                <c:pt idx="11">
                  <c:v>Nov 19</c:v>
                </c:pt>
                <c:pt idx="12">
                  <c:v>Nov 26</c:v>
                </c:pt>
                <c:pt idx="13">
                  <c:v>Dec 3</c:v>
                </c:pt>
                <c:pt idx="14">
                  <c:v>Dec 10</c:v>
                </c:pt>
                <c:pt idx="15">
                  <c:v>Dec 17</c:v>
                </c:pt>
                <c:pt idx="16">
                  <c:v>Dec 24</c:v>
                </c:pt>
                <c:pt idx="17">
                  <c:v>Dec 31</c:v>
                </c:pt>
                <c:pt idx="18">
                  <c:v>Jan 7</c:v>
                </c:pt>
                <c:pt idx="19">
                  <c:v>Jan 14</c:v>
                </c:pt>
                <c:pt idx="20">
                  <c:v>Jan 21</c:v>
                </c:pt>
                <c:pt idx="21">
                  <c:v>Jan 28</c:v>
                </c:pt>
                <c:pt idx="22">
                  <c:v>Feb 4</c:v>
                </c:pt>
                <c:pt idx="23">
                  <c:v>Feb 11</c:v>
                </c:pt>
                <c:pt idx="24">
                  <c:v>Feb 18</c:v>
                </c:pt>
                <c:pt idx="25">
                  <c:v>Feb 25</c:v>
                </c:pt>
                <c:pt idx="26">
                  <c:v>Mar 4</c:v>
                </c:pt>
                <c:pt idx="27">
                  <c:v>Mar 11</c:v>
                </c:pt>
                <c:pt idx="28">
                  <c:v>Mar 18</c:v>
                </c:pt>
                <c:pt idx="29">
                  <c:v>Mar 25</c:v>
                </c:pt>
                <c:pt idx="30">
                  <c:v>Apr 1</c:v>
                </c:pt>
                <c:pt idx="31">
                  <c:v>Apr 8</c:v>
                </c:pt>
                <c:pt idx="32">
                  <c:v>Apr 15</c:v>
                </c:pt>
                <c:pt idx="33">
                  <c:v>Apr 22</c:v>
                </c:pt>
                <c:pt idx="34">
                  <c:v>Apr 29</c:v>
                </c:pt>
                <c:pt idx="35">
                  <c:v>May 6</c:v>
                </c:pt>
                <c:pt idx="36">
                  <c:v>May 13</c:v>
                </c:pt>
                <c:pt idx="37">
                  <c:v>May 20</c:v>
                </c:pt>
                <c:pt idx="38">
                  <c:v>May 27</c:v>
                </c:pt>
                <c:pt idx="39">
                  <c:v>Jun 3</c:v>
                </c:pt>
                <c:pt idx="40">
                  <c:v>Jun 10</c:v>
                </c:pt>
                <c:pt idx="41">
                  <c:v>Jun 17</c:v>
                </c:pt>
                <c:pt idx="42">
                  <c:v>Jun 24</c:v>
                </c:pt>
                <c:pt idx="43">
                  <c:v>Jul 1</c:v>
                </c:pt>
                <c:pt idx="44">
                  <c:v>Jul 8</c:v>
                </c:pt>
                <c:pt idx="45">
                  <c:v>Jul 15</c:v>
                </c:pt>
                <c:pt idx="46">
                  <c:v>Jul 22</c:v>
                </c:pt>
                <c:pt idx="47">
                  <c:v>Jul 29</c:v>
                </c:pt>
                <c:pt idx="48">
                  <c:v>Aug 5</c:v>
                </c:pt>
                <c:pt idx="49">
                  <c:v>Aug 12</c:v>
                </c:pt>
                <c:pt idx="50">
                  <c:v>Aug 19</c:v>
                </c:pt>
                <c:pt idx="51">
                  <c:v>Aug 26</c:v>
                </c:pt>
              </c:strCache>
            </c:strRef>
          </c:cat>
          <c:val>
            <c:numRef>
              <c:f>'Oil Crops Chart Gallery Fig 1'!$B$5:$B$56</c:f>
              <c:numCache>
                <c:formatCode>#,##0.0</c:formatCode>
                <c:ptCount val="52"/>
                <c:pt idx="0">
                  <c:v>15.413982150000001</c:v>
                </c:pt>
                <c:pt idx="1">
                  <c:v>41.208059550000002</c:v>
                </c:pt>
                <c:pt idx="2">
                  <c:v>76.147643880000004</c:v>
                </c:pt>
                <c:pt idx="3">
                  <c:v>109.85263989000001</c:v>
                </c:pt>
                <c:pt idx="4">
                  <c:v>148.01097234</c:v>
                </c:pt>
                <c:pt idx="5">
                  <c:v>183.14162390999999</c:v>
                </c:pt>
                <c:pt idx="6">
                  <c:v>228.96101781000002</c:v>
                </c:pt>
                <c:pt idx="7">
                  <c:v>292.28143602</c:v>
                </c:pt>
                <c:pt idx="8">
                  <c:v>347.48884527000001</c:v>
                </c:pt>
                <c:pt idx="9">
                  <c:v>391.72458569999998</c:v>
                </c:pt>
                <c:pt idx="10">
                  <c:v>449.8898628</c:v>
                </c:pt>
                <c:pt idx="11">
                  <c:v>532.40886425999997</c:v>
                </c:pt>
                <c:pt idx="12">
                  <c:v>587.45460122999998</c:v>
                </c:pt>
                <c:pt idx="13">
                  <c:v>640.48678343999995</c:v>
                </c:pt>
                <c:pt idx="14">
                  <c:v>692.14107690000003</c:v>
                </c:pt>
                <c:pt idx="15">
                  <c:v>729.15300591000005</c:v>
                </c:pt>
                <c:pt idx="16">
                  <c:v>765.92242650000003</c:v>
                </c:pt>
                <c:pt idx="17">
                  <c:v>807.03219665250015</c:v>
                </c:pt>
                <c:pt idx="18">
                  <c:v>851.45654249460006</c:v>
                </c:pt>
                <c:pt idx="19">
                  <c:v>890.15085529650003</c:v>
                </c:pt>
                <c:pt idx="20">
                  <c:v>932.85092952870002</c:v>
                </c:pt>
                <c:pt idx="21">
                  <c:v>983.64299532450002</c:v>
                </c:pt>
                <c:pt idx="22">
                  <c:v>1005.4446860009999</c:v>
                </c:pt>
                <c:pt idx="23">
                  <c:v>1040.6382427854001</c:v>
                </c:pt>
                <c:pt idx="24">
                  <c:v>1062.6089912256</c:v>
                </c:pt>
                <c:pt idx="25">
                  <c:v>1087.2082002453001</c:v>
                </c:pt>
                <c:pt idx="26">
                  <c:v>1105.6898036772</c:v>
                </c:pt>
                <c:pt idx="27">
                  <c:v>1121.8466699538001</c:v>
                </c:pt>
                <c:pt idx="28">
                  <c:v>1144.1538437112001</c:v>
                </c:pt>
                <c:pt idx="29">
                  <c:v>1161.3636374550001</c:v>
                </c:pt>
                <c:pt idx="30">
                  <c:v>1174.6657387037999</c:v>
                </c:pt>
                <c:pt idx="31">
                  <c:v>1193.9568058467</c:v>
                </c:pt>
                <c:pt idx="32">
                  <c:v>1213.3783498683001</c:v>
                </c:pt>
                <c:pt idx="33">
                  <c:v>1234.3327675664998</c:v>
                </c:pt>
                <c:pt idx="34">
                  <c:v>1250.5188083409003</c:v>
                </c:pt>
                <c:pt idx="35">
                  <c:v>1263.6287400387002</c:v>
                </c:pt>
                <c:pt idx="36">
                  <c:v>1282.0023169926001</c:v>
                </c:pt>
                <c:pt idx="37">
                  <c:v>1294.1932887533999</c:v>
                </c:pt>
                <c:pt idx="38">
                  <c:v>1311.9417083955</c:v>
                </c:pt>
                <c:pt idx="39">
                  <c:v>1322.6936131458001</c:v>
                </c:pt>
                <c:pt idx="40">
                  <c:v>1336.9327889757001</c:v>
                </c:pt>
                <c:pt idx="41">
                  <c:v>1348.0425773640002</c:v>
                </c:pt>
                <c:pt idx="42">
                  <c:v>1362.3362808447002</c:v>
                </c:pt>
                <c:pt idx="43">
                  <c:v>1379.5141443131999</c:v>
                </c:pt>
                <c:pt idx="44">
                  <c:v>1400.6540074653001</c:v>
                </c:pt>
                <c:pt idx="45">
                  <c:v>1415.7012140019001</c:v>
                </c:pt>
                <c:pt idx="46">
                  <c:v>1438.3952621766</c:v>
                </c:pt>
                <c:pt idx="47">
                  <c:v>1468.3099618130998</c:v>
                </c:pt>
                <c:pt idx="48">
                  <c:v>1508.8726917600002</c:v>
                </c:pt>
                <c:pt idx="49">
                  <c:v>1541.9052780600002</c:v>
                </c:pt>
                <c:pt idx="50">
                  <c:v>1584.21932298</c:v>
                </c:pt>
                <c:pt idx="51">
                  <c:v>1616.5170352800003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1-4449-BE9C-F4FF33D3FC11}"/>
            </c:ext>
          </c:extLst>
        </c:ser>
        <c:ser>
          <c:idx val="1"/>
          <c:order val="2"/>
          <c:tx>
            <c:strRef>
              <c:f>'Oil Crops Chart Gallery Fig 1'!$D$1:$D$3</c:f>
              <c:strCache>
                <c:ptCount val="3"/>
                <c:pt idx="0">
                  <c:v>2020/21</c:v>
                </c:pt>
                <c:pt idx="1">
                  <c:v>Cumulative</c:v>
                </c:pt>
                <c:pt idx="2">
                  <c:v>shipments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1'!$A$5:$A$56</c:f>
              <c:strCache>
                <c:ptCount val="52"/>
                <c:pt idx="0">
                  <c:v>Sep 3</c:v>
                </c:pt>
                <c:pt idx="1">
                  <c:v>Sep 10</c:v>
                </c:pt>
                <c:pt idx="2">
                  <c:v>Sep 17</c:v>
                </c:pt>
                <c:pt idx="3">
                  <c:v>Sep 24</c:v>
                </c:pt>
                <c:pt idx="4">
                  <c:v>Oct 1</c:v>
                </c:pt>
                <c:pt idx="5">
                  <c:v>Oct 8</c:v>
                </c:pt>
                <c:pt idx="6">
                  <c:v>Oct 15</c:v>
                </c:pt>
                <c:pt idx="7">
                  <c:v>Oct 22</c:v>
                </c:pt>
                <c:pt idx="8">
                  <c:v>Oct 29</c:v>
                </c:pt>
                <c:pt idx="9">
                  <c:v>Nov 5</c:v>
                </c:pt>
                <c:pt idx="10">
                  <c:v>Nov 12</c:v>
                </c:pt>
                <c:pt idx="11">
                  <c:v>Nov 19</c:v>
                </c:pt>
                <c:pt idx="12">
                  <c:v>Nov 26</c:v>
                </c:pt>
                <c:pt idx="13">
                  <c:v>Dec 3</c:v>
                </c:pt>
                <c:pt idx="14">
                  <c:v>Dec 10</c:v>
                </c:pt>
                <c:pt idx="15">
                  <c:v>Dec 17</c:v>
                </c:pt>
                <c:pt idx="16">
                  <c:v>Dec 24</c:v>
                </c:pt>
                <c:pt idx="17">
                  <c:v>Dec 31</c:v>
                </c:pt>
                <c:pt idx="18">
                  <c:v>Jan 7</c:v>
                </c:pt>
                <c:pt idx="19">
                  <c:v>Jan 14</c:v>
                </c:pt>
                <c:pt idx="20">
                  <c:v>Jan 21</c:v>
                </c:pt>
                <c:pt idx="21">
                  <c:v>Jan 28</c:v>
                </c:pt>
                <c:pt idx="22">
                  <c:v>Feb 4</c:v>
                </c:pt>
                <c:pt idx="23">
                  <c:v>Feb 11</c:v>
                </c:pt>
                <c:pt idx="24">
                  <c:v>Feb 18</c:v>
                </c:pt>
                <c:pt idx="25">
                  <c:v>Feb 25</c:v>
                </c:pt>
                <c:pt idx="26">
                  <c:v>Mar 4</c:v>
                </c:pt>
                <c:pt idx="27">
                  <c:v>Mar 11</c:v>
                </c:pt>
                <c:pt idx="28">
                  <c:v>Mar 18</c:v>
                </c:pt>
                <c:pt idx="29">
                  <c:v>Mar 25</c:v>
                </c:pt>
                <c:pt idx="30">
                  <c:v>Apr 1</c:v>
                </c:pt>
                <c:pt idx="31">
                  <c:v>Apr 8</c:v>
                </c:pt>
                <c:pt idx="32">
                  <c:v>Apr 15</c:v>
                </c:pt>
                <c:pt idx="33">
                  <c:v>Apr 22</c:v>
                </c:pt>
                <c:pt idx="34">
                  <c:v>Apr 29</c:v>
                </c:pt>
                <c:pt idx="35">
                  <c:v>May 6</c:v>
                </c:pt>
                <c:pt idx="36">
                  <c:v>May 13</c:v>
                </c:pt>
                <c:pt idx="37">
                  <c:v>May 20</c:v>
                </c:pt>
                <c:pt idx="38">
                  <c:v>May 27</c:v>
                </c:pt>
                <c:pt idx="39">
                  <c:v>Jun 3</c:v>
                </c:pt>
                <c:pt idx="40">
                  <c:v>Jun 10</c:v>
                </c:pt>
                <c:pt idx="41">
                  <c:v>Jun 17</c:v>
                </c:pt>
                <c:pt idx="42">
                  <c:v>Jun 24</c:v>
                </c:pt>
                <c:pt idx="43">
                  <c:v>Jul 1</c:v>
                </c:pt>
                <c:pt idx="44">
                  <c:v>Jul 8</c:v>
                </c:pt>
                <c:pt idx="45">
                  <c:v>Jul 15</c:v>
                </c:pt>
                <c:pt idx="46">
                  <c:v>Jul 22</c:v>
                </c:pt>
                <c:pt idx="47">
                  <c:v>Jul 29</c:v>
                </c:pt>
                <c:pt idx="48">
                  <c:v>Aug 5</c:v>
                </c:pt>
                <c:pt idx="49">
                  <c:v>Aug 12</c:v>
                </c:pt>
                <c:pt idx="50">
                  <c:v>Aug 19</c:v>
                </c:pt>
                <c:pt idx="51">
                  <c:v>Aug 26</c:v>
                </c:pt>
              </c:strCache>
            </c:strRef>
          </c:cat>
          <c:val>
            <c:numRef>
              <c:f>'Oil Crops Chart Gallery Fig 1'!$D$5:$D$56</c:f>
              <c:numCache>
                <c:formatCode>#,##0.0</c:formatCode>
                <c:ptCount val="52"/>
                <c:pt idx="0">
                  <c:v>19.334534940000005</c:v>
                </c:pt>
                <c:pt idx="1">
                  <c:v>83.004018300000013</c:v>
                </c:pt>
                <c:pt idx="2">
                  <c:v>130.12781355000001</c:v>
                </c:pt>
                <c:pt idx="3">
                  <c:v>172.00093407</c:v>
                </c:pt>
                <c:pt idx="4">
                  <c:v>243.75770580000002</c:v>
                </c:pt>
                <c:pt idx="5">
                  <c:v>327.26511279000005</c:v>
                </c:pt>
                <c:pt idx="6">
                  <c:v>419.73063384000005</c:v>
                </c:pt>
                <c:pt idx="7">
                  <c:v>518.79532341000004</c:v>
                </c:pt>
                <c:pt idx="8">
                  <c:v>609.15910482000004</c:v>
                </c:pt>
                <c:pt idx="9">
                  <c:v>727.11005619000002</c:v>
                </c:pt>
                <c:pt idx="10">
                  <c:v>816.50747828999999</c:v>
                </c:pt>
                <c:pt idx="11">
                  <c:v>905.1406314300001</c:v>
                </c:pt>
                <c:pt idx="12">
                  <c:v>996.72430368000016</c:v>
                </c:pt>
                <c:pt idx="13">
                  <c:v>1095.61262349</c:v>
                </c:pt>
                <c:pt idx="14">
                  <c:v>1189.9006320599999</c:v>
                </c:pt>
                <c:pt idx="15">
                  <c:v>1282.4359661400001</c:v>
                </c:pt>
                <c:pt idx="16">
                  <c:v>1367.5270266</c:v>
                </c:pt>
                <c:pt idx="17">
                  <c:v>1435.7564031300001</c:v>
                </c:pt>
                <c:pt idx="18">
                  <c:v>1506.0764961899999</c:v>
                </c:pt>
                <c:pt idx="19">
                  <c:v>1593.4934328600002</c:v>
                </c:pt>
                <c:pt idx="20">
                  <c:v>1674.1274825100002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B-4D91-A61F-574EBC1A1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6960144"/>
        <c:axId val="-494674736"/>
      </c:barChart>
      <c:lineChart>
        <c:grouping val="standard"/>
        <c:varyColors val="0"/>
        <c:ser>
          <c:idx val="0"/>
          <c:order val="1"/>
          <c:tx>
            <c:strRef>
              <c:f>'Oil Crops Chart Gallery Fig 1'!$C$1:$C$3</c:f>
              <c:strCache>
                <c:ptCount val="3"/>
                <c:pt idx="0">
                  <c:v>2019/20</c:v>
                </c:pt>
                <c:pt idx="1">
                  <c:v>Outstanding</c:v>
                </c:pt>
                <c:pt idx="2">
                  <c:v>sales</c:v>
                </c:pt>
              </c:strCache>
            </c:strRef>
          </c:tx>
          <c:spPr>
            <a:ln>
              <a:solidFill>
                <a:srgbClr val="00B050"/>
              </a:solidFill>
              <a:prstDash val="sysDot"/>
            </a:ln>
          </c:spPr>
          <c:marker>
            <c:symbol val="none"/>
          </c:marker>
          <c:cat>
            <c:strRef>
              <c:f>'Oil Crops Chart Gallery Fig 1'!$A$5:$A$56</c:f>
              <c:strCache>
                <c:ptCount val="52"/>
                <c:pt idx="0">
                  <c:v>Sep 3</c:v>
                </c:pt>
                <c:pt idx="1">
                  <c:v>Sep 10</c:v>
                </c:pt>
                <c:pt idx="2">
                  <c:v>Sep 17</c:v>
                </c:pt>
                <c:pt idx="3">
                  <c:v>Sep 24</c:v>
                </c:pt>
                <c:pt idx="4">
                  <c:v>Oct 1</c:v>
                </c:pt>
                <c:pt idx="5">
                  <c:v>Oct 8</c:v>
                </c:pt>
                <c:pt idx="6">
                  <c:v>Oct 15</c:v>
                </c:pt>
                <c:pt idx="7">
                  <c:v>Oct 22</c:v>
                </c:pt>
                <c:pt idx="8">
                  <c:v>Oct 29</c:v>
                </c:pt>
                <c:pt idx="9">
                  <c:v>Nov 5</c:v>
                </c:pt>
                <c:pt idx="10">
                  <c:v>Nov 12</c:v>
                </c:pt>
                <c:pt idx="11">
                  <c:v>Nov 19</c:v>
                </c:pt>
                <c:pt idx="12">
                  <c:v>Nov 26</c:v>
                </c:pt>
                <c:pt idx="13">
                  <c:v>Dec 3</c:v>
                </c:pt>
                <c:pt idx="14">
                  <c:v>Dec 10</c:v>
                </c:pt>
                <c:pt idx="15">
                  <c:v>Dec 17</c:v>
                </c:pt>
                <c:pt idx="16">
                  <c:v>Dec 24</c:v>
                </c:pt>
                <c:pt idx="17">
                  <c:v>Dec 31</c:v>
                </c:pt>
                <c:pt idx="18">
                  <c:v>Jan 7</c:v>
                </c:pt>
                <c:pt idx="19">
                  <c:v>Jan 14</c:v>
                </c:pt>
                <c:pt idx="20">
                  <c:v>Jan 21</c:v>
                </c:pt>
                <c:pt idx="21">
                  <c:v>Jan 28</c:v>
                </c:pt>
                <c:pt idx="22">
                  <c:v>Feb 4</c:v>
                </c:pt>
                <c:pt idx="23">
                  <c:v>Feb 11</c:v>
                </c:pt>
                <c:pt idx="24">
                  <c:v>Feb 18</c:v>
                </c:pt>
                <c:pt idx="25">
                  <c:v>Feb 25</c:v>
                </c:pt>
                <c:pt idx="26">
                  <c:v>Mar 4</c:v>
                </c:pt>
                <c:pt idx="27">
                  <c:v>Mar 11</c:v>
                </c:pt>
                <c:pt idx="28">
                  <c:v>Mar 18</c:v>
                </c:pt>
                <c:pt idx="29">
                  <c:v>Mar 25</c:v>
                </c:pt>
                <c:pt idx="30">
                  <c:v>Apr 1</c:v>
                </c:pt>
                <c:pt idx="31">
                  <c:v>Apr 8</c:v>
                </c:pt>
                <c:pt idx="32">
                  <c:v>Apr 15</c:v>
                </c:pt>
                <c:pt idx="33">
                  <c:v>Apr 22</c:v>
                </c:pt>
                <c:pt idx="34">
                  <c:v>Apr 29</c:v>
                </c:pt>
                <c:pt idx="35">
                  <c:v>May 6</c:v>
                </c:pt>
                <c:pt idx="36">
                  <c:v>May 13</c:v>
                </c:pt>
                <c:pt idx="37">
                  <c:v>May 20</c:v>
                </c:pt>
                <c:pt idx="38">
                  <c:v>May 27</c:v>
                </c:pt>
                <c:pt idx="39">
                  <c:v>Jun 3</c:v>
                </c:pt>
                <c:pt idx="40">
                  <c:v>Jun 10</c:v>
                </c:pt>
                <c:pt idx="41">
                  <c:v>Jun 17</c:v>
                </c:pt>
                <c:pt idx="42">
                  <c:v>Jun 24</c:v>
                </c:pt>
                <c:pt idx="43">
                  <c:v>Jul 1</c:v>
                </c:pt>
                <c:pt idx="44">
                  <c:v>Jul 8</c:v>
                </c:pt>
                <c:pt idx="45">
                  <c:v>Jul 15</c:v>
                </c:pt>
                <c:pt idx="46">
                  <c:v>Jul 22</c:v>
                </c:pt>
                <c:pt idx="47">
                  <c:v>Jul 29</c:v>
                </c:pt>
                <c:pt idx="48">
                  <c:v>Aug 5</c:v>
                </c:pt>
                <c:pt idx="49">
                  <c:v>Aug 12</c:v>
                </c:pt>
                <c:pt idx="50">
                  <c:v>Aug 19</c:v>
                </c:pt>
                <c:pt idx="51">
                  <c:v>Aug 26</c:v>
                </c:pt>
              </c:strCache>
            </c:strRef>
          </c:cat>
          <c:val>
            <c:numRef>
              <c:f>'Oil Crops Chart Gallery Fig 1'!$C$5:$C$56</c:f>
              <c:numCache>
                <c:formatCode>#,##0.0</c:formatCode>
                <c:ptCount val="52"/>
                <c:pt idx="0">
                  <c:v>331.91319084000008</c:v>
                </c:pt>
                <c:pt idx="1">
                  <c:v>369.61957577999999</c:v>
                </c:pt>
                <c:pt idx="2">
                  <c:v>372.81627767999998</c:v>
                </c:pt>
                <c:pt idx="3">
                  <c:v>415.39487724000003</c:v>
                </c:pt>
                <c:pt idx="4">
                  <c:v>454.12273704000006</c:v>
                </c:pt>
                <c:pt idx="5">
                  <c:v>477.81874917000005</c:v>
                </c:pt>
                <c:pt idx="6">
                  <c:v>444.46649267999999</c:v>
                </c:pt>
                <c:pt idx="7">
                  <c:v>415.81742979000006</c:v>
                </c:pt>
                <c:pt idx="8">
                  <c:v>424.92619302000003</c:v>
                </c:pt>
                <c:pt idx="9">
                  <c:v>424.13620347</c:v>
                </c:pt>
                <c:pt idx="10">
                  <c:v>417.12917988000004</c:v>
                </c:pt>
                <c:pt idx="11">
                  <c:v>395.75536959000004</c:v>
                </c:pt>
                <c:pt idx="12">
                  <c:v>365.83130031000002</c:v>
                </c:pt>
                <c:pt idx="13">
                  <c:v>351.39102620999995</c:v>
                </c:pt>
                <c:pt idx="14">
                  <c:v>352.30226997000005</c:v>
                </c:pt>
                <c:pt idx="15">
                  <c:v>342.33737853000002</c:v>
                </c:pt>
                <c:pt idx="16">
                  <c:v>314.92290395999993</c:v>
                </c:pt>
                <c:pt idx="17">
                  <c:v>286.87643775000004</c:v>
                </c:pt>
                <c:pt idx="18">
                  <c:v>266.04643422000004</c:v>
                </c:pt>
                <c:pt idx="19">
                  <c:v>256.37916675000002</c:v>
                </c:pt>
                <c:pt idx="20">
                  <c:v>228.39516483</c:v>
                </c:pt>
                <c:pt idx="21">
                  <c:v>201.03948017999997</c:v>
                </c:pt>
                <c:pt idx="22">
                  <c:v>202.27039413</c:v>
                </c:pt>
                <c:pt idx="23">
                  <c:v>185.23968918</c:v>
                </c:pt>
                <c:pt idx="24">
                  <c:v>175.73776835999999</c:v>
                </c:pt>
                <c:pt idx="25">
                  <c:v>162.85910151000002</c:v>
                </c:pt>
                <c:pt idx="26">
                  <c:v>153.12936975</c:v>
                </c:pt>
                <c:pt idx="27">
                  <c:v>158.57478609</c:v>
                </c:pt>
                <c:pt idx="28">
                  <c:v>169.49501373000001</c:v>
                </c:pt>
                <c:pt idx="29">
                  <c:v>187.46635740000002</c:v>
                </c:pt>
                <c:pt idx="30">
                  <c:v>193.39679057999999</c:v>
                </c:pt>
                <c:pt idx="31">
                  <c:v>183.09753147000001</c:v>
                </c:pt>
                <c:pt idx="32">
                  <c:v>176.35138814999999</c:v>
                </c:pt>
                <c:pt idx="33">
                  <c:v>195.01718775000001</c:v>
                </c:pt>
                <c:pt idx="34">
                  <c:v>202.82889837000002</c:v>
                </c:pt>
                <c:pt idx="35">
                  <c:v>209.50522866</c:v>
                </c:pt>
                <c:pt idx="36">
                  <c:v>235.40586278999999</c:v>
                </c:pt>
                <c:pt idx="37">
                  <c:v>246.88826904000001</c:v>
                </c:pt>
                <c:pt idx="38">
                  <c:v>247.33286781000001</c:v>
                </c:pt>
                <c:pt idx="39">
                  <c:v>273.46131287999998</c:v>
                </c:pt>
                <c:pt idx="40">
                  <c:v>278.99491410000002</c:v>
                </c:pt>
                <c:pt idx="41">
                  <c:v>289.99965225</c:v>
                </c:pt>
                <c:pt idx="42">
                  <c:v>284.58363087000004</c:v>
                </c:pt>
                <c:pt idx="43">
                  <c:v>302.39330225999998</c:v>
                </c:pt>
                <c:pt idx="44">
                  <c:v>292.75542975000002</c:v>
                </c:pt>
                <c:pt idx="45">
                  <c:v>289.00389798000003</c:v>
                </c:pt>
                <c:pt idx="46">
                  <c:v>273.69279819000002</c:v>
                </c:pt>
                <c:pt idx="47">
                  <c:v>256.46367726</c:v>
                </c:pt>
                <c:pt idx="48">
                  <c:v>236.84621582999998</c:v>
                </c:pt>
                <c:pt idx="49">
                  <c:v>203.34698453999999</c:v>
                </c:pt>
                <c:pt idx="50">
                  <c:v>158.30288271000003</c:v>
                </c:pt>
                <c:pt idx="51">
                  <c:v>129.24596475000001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B-4D91-A61F-574EBC1A1DDC}"/>
            </c:ext>
          </c:extLst>
        </c:ser>
        <c:ser>
          <c:idx val="3"/>
          <c:order val="3"/>
          <c:tx>
            <c:strRef>
              <c:f>'Oil Crops Chart Gallery Fig 1'!$E$1:$E$3</c:f>
              <c:strCache>
                <c:ptCount val="3"/>
                <c:pt idx="0">
                  <c:v>2020/21</c:v>
                </c:pt>
                <c:pt idx="1">
                  <c:v>Outstanding</c:v>
                </c:pt>
                <c:pt idx="2">
                  <c:v>sales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'Oil Crops Chart Gallery Fig 1'!$A$5:$A$56</c:f>
              <c:strCache>
                <c:ptCount val="52"/>
                <c:pt idx="0">
                  <c:v>Sep 3</c:v>
                </c:pt>
                <c:pt idx="1">
                  <c:v>Sep 10</c:v>
                </c:pt>
                <c:pt idx="2">
                  <c:v>Sep 17</c:v>
                </c:pt>
                <c:pt idx="3">
                  <c:v>Sep 24</c:v>
                </c:pt>
                <c:pt idx="4">
                  <c:v>Oct 1</c:v>
                </c:pt>
                <c:pt idx="5">
                  <c:v>Oct 8</c:v>
                </c:pt>
                <c:pt idx="6">
                  <c:v>Oct 15</c:v>
                </c:pt>
                <c:pt idx="7">
                  <c:v>Oct 22</c:v>
                </c:pt>
                <c:pt idx="8">
                  <c:v>Oct 29</c:v>
                </c:pt>
                <c:pt idx="9">
                  <c:v>Nov 5</c:v>
                </c:pt>
                <c:pt idx="10">
                  <c:v>Nov 12</c:v>
                </c:pt>
                <c:pt idx="11">
                  <c:v>Nov 19</c:v>
                </c:pt>
                <c:pt idx="12">
                  <c:v>Nov 26</c:v>
                </c:pt>
                <c:pt idx="13">
                  <c:v>Dec 3</c:v>
                </c:pt>
                <c:pt idx="14">
                  <c:v>Dec 10</c:v>
                </c:pt>
                <c:pt idx="15">
                  <c:v>Dec 17</c:v>
                </c:pt>
                <c:pt idx="16">
                  <c:v>Dec 24</c:v>
                </c:pt>
                <c:pt idx="17">
                  <c:v>Dec 31</c:v>
                </c:pt>
                <c:pt idx="18">
                  <c:v>Jan 7</c:v>
                </c:pt>
                <c:pt idx="19">
                  <c:v>Jan 14</c:v>
                </c:pt>
                <c:pt idx="20">
                  <c:v>Jan 21</c:v>
                </c:pt>
                <c:pt idx="21">
                  <c:v>Jan 28</c:v>
                </c:pt>
                <c:pt idx="22">
                  <c:v>Feb 4</c:v>
                </c:pt>
                <c:pt idx="23">
                  <c:v>Feb 11</c:v>
                </c:pt>
                <c:pt idx="24">
                  <c:v>Feb 18</c:v>
                </c:pt>
                <c:pt idx="25">
                  <c:v>Feb 25</c:v>
                </c:pt>
                <c:pt idx="26">
                  <c:v>Mar 4</c:v>
                </c:pt>
                <c:pt idx="27">
                  <c:v>Mar 11</c:v>
                </c:pt>
                <c:pt idx="28">
                  <c:v>Mar 18</c:v>
                </c:pt>
                <c:pt idx="29">
                  <c:v>Mar 25</c:v>
                </c:pt>
                <c:pt idx="30">
                  <c:v>Apr 1</c:v>
                </c:pt>
                <c:pt idx="31">
                  <c:v>Apr 8</c:v>
                </c:pt>
                <c:pt idx="32">
                  <c:v>Apr 15</c:v>
                </c:pt>
                <c:pt idx="33">
                  <c:v>Apr 22</c:v>
                </c:pt>
                <c:pt idx="34">
                  <c:v>Apr 29</c:v>
                </c:pt>
                <c:pt idx="35">
                  <c:v>May 6</c:v>
                </c:pt>
                <c:pt idx="36">
                  <c:v>May 13</c:v>
                </c:pt>
                <c:pt idx="37">
                  <c:v>May 20</c:v>
                </c:pt>
                <c:pt idx="38">
                  <c:v>May 27</c:v>
                </c:pt>
                <c:pt idx="39">
                  <c:v>Jun 3</c:v>
                </c:pt>
                <c:pt idx="40">
                  <c:v>Jun 10</c:v>
                </c:pt>
                <c:pt idx="41">
                  <c:v>Jun 17</c:v>
                </c:pt>
                <c:pt idx="42">
                  <c:v>Jun 24</c:v>
                </c:pt>
                <c:pt idx="43">
                  <c:v>Jul 1</c:v>
                </c:pt>
                <c:pt idx="44">
                  <c:v>Jul 8</c:v>
                </c:pt>
                <c:pt idx="45">
                  <c:v>Jul 15</c:v>
                </c:pt>
                <c:pt idx="46">
                  <c:v>Jul 22</c:v>
                </c:pt>
                <c:pt idx="47">
                  <c:v>Jul 29</c:v>
                </c:pt>
                <c:pt idx="48">
                  <c:v>Aug 5</c:v>
                </c:pt>
                <c:pt idx="49">
                  <c:v>Aug 12</c:v>
                </c:pt>
                <c:pt idx="50">
                  <c:v>Aug 19</c:v>
                </c:pt>
                <c:pt idx="51">
                  <c:v>Aug 26</c:v>
                </c:pt>
              </c:strCache>
            </c:strRef>
          </c:cat>
          <c:val>
            <c:numRef>
              <c:f>'Oil Crops Chart Gallery Fig 1'!$E$5:$E$56</c:f>
              <c:numCache>
                <c:formatCode>#,##0.0</c:formatCode>
                <c:ptCount val="52"/>
                <c:pt idx="0">
                  <c:v>1078.78768326</c:v>
                </c:pt>
                <c:pt idx="1">
                  <c:v>1105.3974708000001</c:v>
                </c:pt>
                <c:pt idx="2">
                  <c:v>1175.6587739399999</c:v>
                </c:pt>
                <c:pt idx="3">
                  <c:v>1228.99592886</c:v>
                </c:pt>
                <c:pt idx="4">
                  <c:v>1248.183489</c:v>
                </c:pt>
                <c:pt idx="5">
                  <c:v>1257.26653164</c:v>
                </c:pt>
                <c:pt idx="6">
                  <c:v>1246.5777893100001</c:v>
                </c:pt>
                <c:pt idx="7">
                  <c:v>1207.0599399600001</c:v>
                </c:pt>
                <c:pt idx="8">
                  <c:v>1170.40442484</c:v>
                </c:pt>
                <c:pt idx="9">
                  <c:v>1106.41159692</c:v>
                </c:pt>
                <c:pt idx="10">
                  <c:v>1063.3957473300002</c:v>
                </c:pt>
                <c:pt idx="11">
                  <c:v>1002.9854301600001</c:v>
                </c:pt>
                <c:pt idx="12">
                  <c:v>926.35276944000009</c:v>
                </c:pt>
                <c:pt idx="13">
                  <c:v>848.37161493000008</c:v>
                </c:pt>
                <c:pt idx="14">
                  <c:v>787.11619266000002</c:v>
                </c:pt>
                <c:pt idx="15">
                  <c:v>707.54036156999996</c:v>
                </c:pt>
                <c:pt idx="16">
                  <c:v>643.49609247000001</c:v>
                </c:pt>
                <c:pt idx="17">
                  <c:v>576.62255847000006</c:v>
                </c:pt>
                <c:pt idx="18">
                  <c:v>535.02869007000004</c:v>
                </c:pt>
                <c:pt idx="19">
                  <c:v>514.40077688999997</c:v>
                </c:pt>
                <c:pt idx="20">
                  <c:v>450.88929144000008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17-4400-A712-35894F393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6960144"/>
        <c:axId val="-494674736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USDA, Foreign </a:t>
                </a:r>
                <a:r>
                  <a:rPr lang="en-US" sz="800" i="0"/>
                  <a:t>Agricultural Service</a:t>
                </a:r>
                <a:r>
                  <a:rPr lang="en-US" sz="800" i="1"/>
                  <a:t>, Export Sales.</a:t>
                </a:r>
                <a:endParaRPr lang="en-US" sz="800" b="0" i="1" u="none" strike="noStrike" baseline="0">
                  <a:effectLst/>
                </a:endParaRPr>
              </a:p>
            </c:rich>
          </c:tx>
          <c:layout>
            <c:manualLayout>
              <c:xMode val="edge"/>
              <c:yMode val="edge"/>
              <c:x val="4.5593074904098536E-2"/>
              <c:y val="0.9461522850880754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Unit val="8"/>
        <c:majorTimeUnit val="months"/>
        <c:minorTimeUnit val="months"/>
      </c:dateAx>
      <c:valAx>
        <c:axId val="-494674736"/>
        <c:scaling>
          <c:orientation val="minMax"/>
          <c:max val="2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bushels</a:t>
                </a:r>
              </a:p>
              <a:p>
                <a:pPr>
                  <a:defRPr sz="900"/>
                </a:pPr>
                <a:endParaRPr lang="en-US" sz="900"/>
              </a:p>
            </c:rich>
          </c:tx>
          <c:layout>
            <c:manualLayout>
              <c:xMode val="edge"/>
              <c:yMode val="edge"/>
              <c:x val="3.9534457231307628E-2"/>
              <c:y val="0.12056935190793461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500"/>
        <c:minorUnit val="5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5.9479944814590471E-2"/>
          <c:y val="0.89056498092377623"/>
          <c:w val="0.86904031226865885"/>
          <c:h val="5.877326872602463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800" b="0"/>
              <a:t>Figure 3</a:t>
            </a:r>
          </a:p>
          <a:p>
            <a:pPr algn="l">
              <a:defRPr/>
            </a:pPr>
            <a:r>
              <a:rPr lang="en-US" sz="1050" b="1" baseline="0"/>
              <a:t>Leadership in global soybean exports is switching quickly </a:t>
            </a:r>
            <a:endParaRPr lang="en-US" sz="1050" b="1"/>
          </a:p>
        </c:rich>
      </c:tx>
      <c:layout>
        <c:manualLayout>
          <c:xMode val="edge"/>
          <c:yMode val="edge"/>
          <c:x val="5.5951443569553803E-2"/>
          <c:y val="3.274395746627925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26576485631603"/>
          <c:y val="0.1639315684712917"/>
          <c:w val="0.72607747510518172"/>
          <c:h val="0.655791087614470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'Oil Crops Chart Gallery Fig 2'!$B$1:$B$2</c:f>
              <c:strCache>
                <c:ptCount val="2"/>
                <c:pt idx="0">
                  <c:v>U.S.</c:v>
                </c:pt>
              </c:strCache>
            </c:strRef>
          </c:tx>
          <c:spPr>
            <a:pattFill prst="wdUpDiag">
              <a:fgClr>
                <a:srgbClr val="FF0000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  <a:prstDash val="solid"/>
            </a:ln>
          </c:spPr>
          <c:invertIfNegative val="0"/>
          <c:cat>
            <c:numRef>
              <c:f>'Oil Crops Chart Gallery Fig 2'!$A$4:$A$19</c:f>
              <c:numCache>
                <c:formatCode>mmm\-yyyy</c:formatCode>
                <c:ptCount val="16"/>
                <c:pt idx="0">
                  <c:v>43757</c:v>
                </c:pt>
                <c:pt idx="1">
                  <c:v>43788</c:v>
                </c:pt>
                <c:pt idx="2">
                  <c:v>43818</c:v>
                </c:pt>
                <c:pt idx="3">
                  <c:v>43849</c:v>
                </c:pt>
                <c:pt idx="4">
                  <c:v>43880</c:v>
                </c:pt>
                <c:pt idx="5">
                  <c:v>43909</c:v>
                </c:pt>
                <c:pt idx="6">
                  <c:v>43940</c:v>
                </c:pt>
                <c:pt idx="7">
                  <c:v>43970</c:v>
                </c:pt>
                <c:pt idx="8">
                  <c:v>44001</c:v>
                </c:pt>
                <c:pt idx="9">
                  <c:v>44031</c:v>
                </c:pt>
                <c:pt idx="10">
                  <c:v>44062</c:v>
                </c:pt>
                <c:pt idx="11">
                  <c:v>44093</c:v>
                </c:pt>
                <c:pt idx="12">
                  <c:v>44123</c:v>
                </c:pt>
                <c:pt idx="13">
                  <c:v>44154</c:v>
                </c:pt>
                <c:pt idx="14">
                  <c:v>44184</c:v>
                </c:pt>
                <c:pt idx="15">
                  <c:v>44215</c:v>
                </c:pt>
              </c:numCache>
            </c:numRef>
          </c:cat>
          <c:val>
            <c:numRef>
              <c:f>'Oil Crops Chart Gallery Fig 2'!$B$4:$B$19</c:f>
              <c:numCache>
                <c:formatCode>#,##0_);\(#,##0\)</c:formatCode>
                <c:ptCount val="16"/>
                <c:pt idx="0">
                  <c:v>5.9445980999999994</c:v>
                </c:pt>
                <c:pt idx="1">
                  <c:v>7.0052910999999991</c:v>
                </c:pt>
                <c:pt idx="2">
                  <c:v>5.5702881</c:v>
                </c:pt>
                <c:pt idx="3">
                  <c:v>5.3192076999999998</c:v>
                </c:pt>
                <c:pt idx="4">
                  <c:v>2.758858</c:v>
                </c:pt>
                <c:pt idx="5">
                  <c:v>2.5708519000000001</c:v>
                </c:pt>
                <c:pt idx="6">
                  <c:v>2.1631142999999997</c:v>
                </c:pt>
                <c:pt idx="7">
                  <c:v>1.9654041000000002</c:v>
                </c:pt>
                <c:pt idx="8">
                  <c:v>1.7991959</c:v>
                </c:pt>
                <c:pt idx="9">
                  <c:v>2.2161911000000001</c:v>
                </c:pt>
                <c:pt idx="10">
                  <c:v>4.5507600999999998</c:v>
                </c:pt>
                <c:pt idx="11">
                  <c:v>7.7802423999999997</c:v>
                </c:pt>
                <c:pt idx="12">
                  <c:v>11.572875400000001</c:v>
                </c:pt>
                <c:pt idx="13">
                  <c:v>11.0964516</c:v>
                </c:pt>
                <c:pt idx="14">
                  <c:v>10.8176915</c:v>
                </c:pt>
                <c:pt idx="15">
                  <c:v>8.1302900000000005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2-40E3-B52D-20BE5FD581EB}"/>
            </c:ext>
          </c:extLst>
        </c:ser>
        <c:ser>
          <c:idx val="0"/>
          <c:order val="1"/>
          <c:tx>
            <c:strRef>
              <c:f>'Oil Crops Chart Gallery Fig 2'!$C$1:$C$2</c:f>
              <c:strCache>
                <c:ptCount val="2"/>
                <c:pt idx="0">
                  <c:v>Brazil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  <a:prstDash val="solid"/>
            </a:ln>
          </c:spPr>
          <c:invertIfNegative val="0"/>
          <c:cat>
            <c:numRef>
              <c:f>'Oil Crops Chart Gallery Fig 2'!$A$4:$A$19</c:f>
              <c:numCache>
                <c:formatCode>mmm\-yyyy</c:formatCode>
                <c:ptCount val="16"/>
                <c:pt idx="0">
                  <c:v>43757</c:v>
                </c:pt>
                <c:pt idx="1">
                  <c:v>43788</c:v>
                </c:pt>
                <c:pt idx="2">
                  <c:v>43818</c:v>
                </c:pt>
                <c:pt idx="3">
                  <c:v>43849</c:v>
                </c:pt>
                <c:pt idx="4">
                  <c:v>43880</c:v>
                </c:pt>
                <c:pt idx="5">
                  <c:v>43909</c:v>
                </c:pt>
                <c:pt idx="6">
                  <c:v>43940</c:v>
                </c:pt>
                <c:pt idx="7">
                  <c:v>43970</c:v>
                </c:pt>
                <c:pt idx="8">
                  <c:v>44001</c:v>
                </c:pt>
                <c:pt idx="9">
                  <c:v>44031</c:v>
                </c:pt>
                <c:pt idx="10">
                  <c:v>44062</c:v>
                </c:pt>
                <c:pt idx="11">
                  <c:v>44093</c:v>
                </c:pt>
                <c:pt idx="12">
                  <c:v>44123</c:v>
                </c:pt>
                <c:pt idx="13">
                  <c:v>44154</c:v>
                </c:pt>
                <c:pt idx="14">
                  <c:v>44184</c:v>
                </c:pt>
                <c:pt idx="15">
                  <c:v>44215</c:v>
                </c:pt>
              </c:numCache>
            </c:numRef>
          </c:cat>
          <c:val>
            <c:numRef>
              <c:f>'Oil Crops Chart Gallery Fig 2'!$C$4:$C$19</c:f>
              <c:numCache>
                <c:formatCode>#,##0_);\(#,##0\)</c:formatCode>
                <c:ptCount val="16"/>
                <c:pt idx="0">
                  <c:v>5.0762598829999996</c:v>
                </c:pt>
                <c:pt idx="1">
                  <c:v>4.9473593170000001</c:v>
                </c:pt>
                <c:pt idx="2">
                  <c:v>3.2696367909999999</c:v>
                </c:pt>
                <c:pt idx="3">
                  <c:v>1.3970485420000001</c:v>
                </c:pt>
                <c:pt idx="4">
                  <c:v>4.8339818459999995</c:v>
                </c:pt>
                <c:pt idx="5">
                  <c:v>10.855230046000001</c:v>
                </c:pt>
                <c:pt idx="6">
                  <c:v>14.859774224000001</c:v>
                </c:pt>
                <c:pt idx="7">
                  <c:v>14.099887178000001</c:v>
                </c:pt>
                <c:pt idx="8">
                  <c:v>12.741608437</c:v>
                </c:pt>
                <c:pt idx="9">
                  <c:v>9.9550679909999999</c:v>
                </c:pt>
                <c:pt idx="10">
                  <c:v>5.8366215019999999</c:v>
                </c:pt>
                <c:pt idx="11">
                  <c:v>4.2609221020000003</c:v>
                </c:pt>
                <c:pt idx="12">
                  <c:v>2.4262227840000001</c:v>
                </c:pt>
                <c:pt idx="13">
                  <c:v>1.435661488</c:v>
                </c:pt>
                <c:pt idx="14">
                  <c:v>0.27408258299999999</c:v>
                </c:pt>
                <c:pt idx="15">
                  <c:v>4.9498928999999997E-2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42-40E3-B52D-20BE5FD581EB}"/>
            </c:ext>
          </c:extLst>
        </c:ser>
        <c:ser>
          <c:idx val="1"/>
          <c:order val="2"/>
          <c:tx>
            <c:strRef>
              <c:f>'Oil Crops Chart Gallery Fig 2'!$D$1:$D$2</c:f>
              <c:strCache>
                <c:ptCount val="2"/>
                <c:pt idx="0">
                  <c:v>Argentina</c:v>
                </c:pt>
              </c:strCache>
            </c:strRef>
          </c:tx>
          <c:spPr>
            <a:pattFill prst="wd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solid"/>
            </a:ln>
          </c:spPr>
          <c:invertIfNegative val="0"/>
          <c:cat>
            <c:numRef>
              <c:f>'Oil Crops Chart Gallery Fig 2'!$A$4:$A$19</c:f>
              <c:numCache>
                <c:formatCode>mmm\-yyyy</c:formatCode>
                <c:ptCount val="16"/>
                <c:pt idx="0">
                  <c:v>43757</c:v>
                </c:pt>
                <c:pt idx="1">
                  <c:v>43788</c:v>
                </c:pt>
                <c:pt idx="2">
                  <c:v>43818</c:v>
                </c:pt>
                <c:pt idx="3">
                  <c:v>43849</c:v>
                </c:pt>
                <c:pt idx="4">
                  <c:v>43880</c:v>
                </c:pt>
                <c:pt idx="5">
                  <c:v>43909</c:v>
                </c:pt>
                <c:pt idx="6">
                  <c:v>43940</c:v>
                </c:pt>
                <c:pt idx="7">
                  <c:v>43970</c:v>
                </c:pt>
                <c:pt idx="8">
                  <c:v>44001</c:v>
                </c:pt>
                <c:pt idx="9">
                  <c:v>44031</c:v>
                </c:pt>
                <c:pt idx="10">
                  <c:v>44062</c:v>
                </c:pt>
                <c:pt idx="11">
                  <c:v>44093</c:v>
                </c:pt>
                <c:pt idx="12">
                  <c:v>44123</c:v>
                </c:pt>
                <c:pt idx="13">
                  <c:v>44154</c:v>
                </c:pt>
                <c:pt idx="14">
                  <c:v>44184</c:v>
                </c:pt>
                <c:pt idx="15">
                  <c:v>44215</c:v>
                </c:pt>
              </c:numCache>
            </c:numRef>
          </c:cat>
          <c:val>
            <c:numRef>
              <c:f>'Oil Crops Chart Gallery Fig 2'!$D$4:$D$19</c:f>
              <c:numCache>
                <c:formatCode>#,##0_);\(#,##0\)</c:formatCode>
                <c:ptCount val="16"/>
                <c:pt idx="0">
                  <c:v>1.5558396800000001</c:v>
                </c:pt>
                <c:pt idx="1">
                  <c:v>1.4144035019999999</c:v>
                </c:pt>
                <c:pt idx="2">
                  <c:v>0.41410007399999998</c:v>
                </c:pt>
                <c:pt idx="3">
                  <c:v>0.157365851</c:v>
                </c:pt>
                <c:pt idx="4">
                  <c:v>2.1359514E-2</c:v>
                </c:pt>
                <c:pt idx="5">
                  <c:v>1.5682897000000001E-2</c:v>
                </c:pt>
                <c:pt idx="6">
                  <c:v>0.69850406499999995</c:v>
                </c:pt>
                <c:pt idx="7">
                  <c:v>2.173431248</c:v>
                </c:pt>
                <c:pt idx="8">
                  <c:v>1.328751249</c:v>
                </c:pt>
                <c:pt idx="9">
                  <c:v>1.061361335</c:v>
                </c:pt>
                <c:pt idx="10">
                  <c:v>0.98710016099999998</c:v>
                </c:pt>
                <c:pt idx="11">
                  <c:v>0.14502631999999999</c:v>
                </c:pt>
                <c:pt idx="12">
                  <c:v>0.16519608299999999</c:v>
                </c:pt>
                <c:pt idx="13">
                  <c:v>1.9397813999999999E-2</c:v>
                </c:pt>
                <c:pt idx="14">
                  <c:v>1.3115224E-2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8-4A67-8D59-194AC8D2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06960144"/>
        <c:axId val="-494674736"/>
      </c:bar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Sources: USDA, Foreign Agricultural Service, </a:t>
                </a:r>
                <a:r>
                  <a:rPr lang="en-US" sz="800" i="1"/>
                  <a:t>Global</a:t>
                </a:r>
                <a:r>
                  <a:rPr lang="en-US" sz="800" i="1" baseline="0"/>
                  <a:t> Agricultural Trade System</a:t>
                </a:r>
                <a:r>
                  <a:rPr lang="en-US" sz="800" baseline="0"/>
                  <a:t>, and </a:t>
                </a:r>
                <a:r>
                  <a:rPr lang="en-US" sz="800"/>
                  <a:t>Argentine and Brazilian customs</a:t>
                </a:r>
                <a:r>
                  <a:rPr lang="en-US" sz="800" b="0" i="1" u="none" strike="noStrike" baseline="0">
                    <a:effectLst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6.4823844134867761E-2"/>
              <c:y val="0.95537411210396928"/>
            </c:manualLayout>
          </c:layout>
          <c:overlay val="0"/>
        </c:title>
        <c:numFmt formatCode="mmm\-yyyy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TimeUnit val="months"/>
        <c:minorTimeUnit val="months"/>
      </c:dateAx>
      <c:valAx>
        <c:axId val="-494674736"/>
        <c:scaling>
          <c:orientation val="minMax"/>
          <c:max val="2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5.8765226462076853E-2"/>
              <c:y val="8.7758646721397437E-2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5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34153122686587256"/>
          <c:y val="0.87226831143295425"/>
          <c:w val="0.24085873881149472"/>
          <c:h val="5.43251759656355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50800</xdr:rowOff>
    </xdr:from>
    <xdr:to>
      <xdr:col>11</xdr:col>
      <xdr:colOff>558800</xdr:colOff>
      <xdr:row>19</xdr:row>
      <xdr:rowOff>63500</xdr:rowOff>
    </xdr:to>
    <xdr:graphicFrame macro="">
      <xdr:nvGraphicFramePr>
        <xdr:cNvPr id="4" name="Chart 4" descr="Costs of U.S. soybeans swell for both export and domestic users with fast-shrinking stocks.&#10;&#10;A chart of monthly U.S. soybean prices for export and domestic crushers.">
          <a:extLst>
            <a:ext uri="{FF2B5EF4-FFF2-40B4-BE49-F238E27FC236}">
              <a16:creationId xmlns:a16="http://schemas.microsoft.com/office/drawing/2014/main" id="{F5F4164D-CE49-4CFD-AC05-387790BBE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0</xdr:row>
      <xdr:rowOff>63500</xdr:rowOff>
    </xdr:from>
    <xdr:to>
      <xdr:col>13</xdr:col>
      <xdr:colOff>241300</xdr:colOff>
      <xdr:row>19</xdr:row>
      <xdr:rowOff>133350</xdr:rowOff>
    </xdr:to>
    <xdr:graphicFrame macro="">
      <xdr:nvGraphicFramePr>
        <xdr:cNvPr id="2" name="Chart 4" descr="2020/21 soybean shipments are brisk but plunging outstanding U.S. export sales signal a slowing.&#10;&#10;A chart of weekly U.S. soybean outstanding export sales and cumulative shipments for 2019/20 and 2020/21.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559954</xdr:colOff>
      <xdr:row>0</xdr:row>
      <xdr:rowOff>0</xdr:rowOff>
    </xdr:from>
    <xdr:to>
      <xdr:col>13</xdr:col>
      <xdr:colOff>234372</xdr:colOff>
      <xdr:row>21</xdr:row>
      <xdr:rowOff>76200</xdr:rowOff>
    </xdr:to>
    <xdr:graphicFrame macro="">
      <xdr:nvGraphicFramePr>
        <xdr:cNvPr id="4" name="Chart 4" descr="Leadership in global soybean exports is switching quickly.&#10;&#10;A chart of monthly soybean exports by Brazil, Argentina, and the United States.">
          <a:extLst>
            <a:ext uri="{FF2B5EF4-FFF2-40B4-BE49-F238E27FC236}">
              <a16:creationId xmlns:a16="http://schemas.microsoft.com/office/drawing/2014/main" id="{97F26740-E702-4034-9181-201D2AFC7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workbookViewId="0">
      <selection activeCell="A5" sqref="A5"/>
    </sheetView>
  </sheetViews>
  <sheetFormatPr defaultColWidth="9.7265625" defaultRowHeight="12.5" x14ac:dyDescent="0.25"/>
  <cols>
    <col min="1" max="1" width="64.7265625" style="29" customWidth="1"/>
    <col min="2" max="16384" width="9.7265625" style="21"/>
  </cols>
  <sheetData>
    <row r="1" spans="1:3" ht="44.25" customHeight="1" x14ac:dyDescent="0.25">
      <c r="A1" s="20"/>
    </row>
    <row r="2" spans="1:3" ht="18" x14ac:dyDescent="0.4">
      <c r="A2" s="22" t="s">
        <v>109</v>
      </c>
    </row>
    <row r="3" spans="1:3" s="24" customFormat="1" ht="10" x14ac:dyDescent="0.2">
      <c r="A3" s="23"/>
    </row>
    <row r="4" spans="1:3" ht="13" x14ac:dyDescent="0.3">
      <c r="A4" s="25" t="s">
        <v>110</v>
      </c>
    </row>
    <row r="5" spans="1:3" ht="13" x14ac:dyDescent="0.3">
      <c r="A5" s="33">
        <f ca="1">TODAY()</f>
        <v>44237</v>
      </c>
      <c r="B5" s="26"/>
    </row>
    <row r="6" spans="1:3" s="24" customFormat="1" x14ac:dyDescent="0.25">
      <c r="A6" s="23"/>
      <c r="B6" s="26"/>
      <c r="C6" s="27"/>
    </row>
    <row r="7" spans="1:3" ht="13" x14ac:dyDescent="0.3">
      <c r="A7" s="32" t="s">
        <v>146</v>
      </c>
      <c r="B7" s="28"/>
      <c r="C7" s="24"/>
    </row>
    <row r="8" spans="1:3" ht="13" x14ac:dyDescent="0.3">
      <c r="A8" s="32" t="s">
        <v>147</v>
      </c>
      <c r="B8" s="30"/>
    </row>
    <row r="9" spans="1:3" ht="13" x14ac:dyDescent="0.3">
      <c r="A9" s="32" t="s">
        <v>148</v>
      </c>
      <c r="B9" s="30"/>
    </row>
    <row r="10" spans="1:3" ht="13" x14ac:dyDescent="0.3">
      <c r="A10" s="32" t="s">
        <v>149</v>
      </c>
      <c r="B10" s="30"/>
    </row>
    <row r="11" spans="1:3" ht="13" x14ac:dyDescent="0.3">
      <c r="A11" s="32" t="s">
        <v>150</v>
      </c>
      <c r="B11" s="30"/>
    </row>
    <row r="12" spans="1:3" ht="13" x14ac:dyDescent="0.3">
      <c r="A12" s="32" t="s">
        <v>151</v>
      </c>
      <c r="B12" s="30"/>
    </row>
    <row r="13" spans="1:3" ht="13" x14ac:dyDescent="0.3">
      <c r="A13" s="32" t="s">
        <v>152</v>
      </c>
      <c r="B13" s="30"/>
    </row>
    <row r="14" spans="1:3" ht="13" x14ac:dyDescent="0.3">
      <c r="A14" s="32" t="s">
        <v>45</v>
      </c>
      <c r="B14" s="30"/>
    </row>
    <row r="15" spans="1:3" ht="13" x14ac:dyDescent="0.3">
      <c r="A15" s="32" t="s">
        <v>18</v>
      </c>
      <c r="B15" s="30"/>
    </row>
    <row r="16" spans="1:3" ht="13" x14ac:dyDescent="0.3">
      <c r="A16" s="32" t="s">
        <v>37</v>
      </c>
      <c r="B16" s="30"/>
    </row>
    <row r="17" spans="1:2" ht="13" x14ac:dyDescent="0.3">
      <c r="A17" s="31" t="s">
        <v>162</v>
      </c>
      <c r="B17" s="30"/>
    </row>
    <row r="18" spans="1:2" x14ac:dyDescent="0.25">
      <c r="A18" s="31"/>
    </row>
  </sheetData>
  <hyperlinks>
    <hyperlink ref="A7" location="'Table 1'!A1" display="Table 1--Soybeans:  Annual U.S. supply and disappearance" xr:uid="{00000000-0004-0000-0000-000000000000}"/>
    <hyperlink ref="A8" location="'Table 2'!A1" display="Table 2--Soybean meal:  U.S. supply and disappearance" xr:uid="{00000000-0004-0000-0000-000001000000}"/>
    <hyperlink ref="A9" location="'Table 3'!A1" display="Table 3--Soybean oil:  U.S. supply and disappearance" xr:uid="{00000000-0004-0000-0000-000002000000}"/>
    <hyperlink ref="A10" location="'Tables 4-7'!A1" display="Table 4--Cottonseed:  U.S. supply and disappearance" xr:uid="{00000000-0004-0000-0000-000003000000}"/>
    <hyperlink ref="A11" location="'Tables 4-7'!A1" display="Table 5--Cottonseed meal:  U.S. supply and disappearance" xr:uid="{00000000-0004-0000-0000-000004000000}"/>
    <hyperlink ref="A12" location="'Tables 4-7'!A1" display="Table 6--Cottonseed oil:  U.S. supply and disappearance" xr:uid="{00000000-0004-0000-0000-000005000000}"/>
    <hyperlink ref="A13" location="'Tables 4-7'!A1" display="Table 7--Peanuts:  U.S. supply and disappearance" xr:uid="{00000000-0004-0000-0000-000006000000}"/>
    <hyperlink ref="A14" location="'Table 8'!A1" display="Table 8--Oilseed prices received by U.S. farmers" xr:uid="{00000000-0004-0000-0000-000007000000}"/>
    <hyperlink ref="A15" location="'Table 9'!A1" display="Table 9--U.S. vegetable oil and fats prices" xr:uid="{00000000-0004-0000-0000-000008000000}"/>
    <hyperlink ref="A16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4"/>
  <sheetViews>
    <sheetView workbookViewId="0">
      <selection activeCell="A3" sqref="A3"/>
    </sheetView>
  </sheetViews>
  <sheetFormatPr defaultRowHeight="12.5" x14ac:dyDescent="0.25"/>
  <cols>
    <col min="1" max="1" width="13.6328125" style="142" customWidth="1"/>
    <col min="2" max="9" width="10.7265625" style="145" customWidth="1"/>
    <col min="10" max="10" width="10.7265625" style="1" customWidth="1"/>
    <col min="12" max="12" width="10.7265625" style="16" bestFit="1" customWidth="1"/>
  </cols>
  <sheetData>
    <row r="1" spans="1:16" ht="14" x14ac:dyDescent="0.3">
      <c r="A1" s="129" t="s">
        <v>175</v>
      </c>
      <c r="B1" s="35" t="s">
        <v>145</v>
      </c>
      <c r="C1" s="35" t="s">
        <v>145</v>
      </c>
      <c r="D1" s="35" t="s">
        <v>168</v>
      </c>
      <c r="E1" s="35" t="s">
        <v>168</v>
      </c>
      <c r="F1" s="129"/>
      <c r="G1" s="129"/>
      <c r="H1" s="129"/>
      <c r="K1" s="129"/>
      <c r="L1" s="120"/>
      <c r="O1" s="10"/>
      <c r="P1" s="18"/>
    </row>
    <row r="2" spans="1:16" ht="14" x14ac:dyDescent="0.3">
      <c r="A2" s="129" t="s">
        <v>176</v>
      </c>
      <c r="B2" s="35" t="s">
        <v>229</v>
      </c>
      <c r="C2" s="35" t="s">
        <v>231</v>
      </c>
      <c r="D2" s="35" t="s">
        <v>229</v>
      </c>
      <c r="E2" s="35" t="s">
        <v>231</v>
      </c>
      <c r="F2" s="129"/>
      <c r="G2" s="129"/>
      <c r="H2" s="129"/>
      <c r="K2" s="129"/>
      <c r="L2" s="120"/>
      <c r="O2" s="10"/>
      <c r="P2" s="18"/>
    </row>
    <row r="3" spans="1:16" ht="14" x14ac:dyDescent="0.3">
      <c r="B3" s="35" t="s">
        <v>230</v>
      </c>
      <c r="C3" s="35" t="s">
        <v>232</v>
      </c>
      <c r="D3" s="35" t="s">
        <v>230</v>
      </c>
      <c r="E3" s="35" t="s">
        <v>232</v>
      </c>
      <c r="F3" s="129"/>
      <c r="G3" s="129"/>
      <c r="H3" s="129"/>
      <c r="I3" s="129"/>
      <c r="J3" s="129"/>
      <c r="L3" s="35"/>
    </row>
    <row r="4" spans="1:16" ht="14" x14ac:dyDescent="0.3">
      <c r="B4" s="153" t="s">
        <v>173</v>
      </c>
      <c r="D4" s="35"/>
      <c r="E4" s="35"/>
      <c r="F4" s="35"/>
      <c r="G4" s="35"/>
      <c r="H4" s="35"/>
      <c r="I4" s="35"/>
      <c r="J4" s="35"/>
      <c r="K4" s="129"/>
      <c r="L4"/>
    </row>
    <row r="5" spans="1:16" ht="14" x14ac:dyDescent="0.3">
      <c r="A5" s="35" t="s">
        <v>177</v>
      </c>
      <c r="B5" s="164">
        <v>15.413982150000001</v>
      </c>
      <c r="C5" s="164">
        <v>331.91319084000008</v>
      </c>
      <c r="D5" s="164">
        <v>19.334534940000005</v>
      </c>
      <c r="E5" s="164">
        <v>1078.78768326</v>
      </c>
      <c r="F5" s="153"/>
      <c r="G5" s="129"/>
      <c r="H5" s="129"/>
      <c r="K5" s="137"/>
      <c r="L5" s="124"/>
      <c r="O5" s="126"/>
      <c r="P5" s="127"/>
    </row>
    <row r="6" spans="1:16" ht="15.5" x14ac:dyDescent="0.35">
      <c r="A6" s="35" t="s">
        <v>178</v>
      </c>
      <c r="B6" s="164">
        <v>41.208059550000002</v>
      </c>
      <c r="C6" s="164">
        <v>369.61957577999999</v>
      </c>
      <c r="D6" s="164">
        <v>83.004018300000013</v>
      </c>
      <c r="E6" s="164">
        <v>1105.3974708000001</v>
      </c>
      <c r="F6" s="152"/>
      <c r="G6" s="152"/>
      <c r="K6" s="137"/>
      <c r="L6" s="124"/>
      <c r="O6" s="126"/>
      <c r="P6" s="127"/>
    </row>
    <row r="7" spans="1:16" ht="15.5" x14ac:dyDescent="0.35">
      <c r="A7" s="35" t="s">
        <v>179</v>
      </c>
      <c r="B7" s="164">
        <v>76.147643880000004</v>
      </c>
      <c r="C7" s="164">
        <v>372.81627767999998</v>
      </c>
      <c r="D7" s="164">
        <v>130.12781355000001</v>
      </c>
      <c r="E7" s="164">
        <v>1175.6587739399999</v>
      </c>
      <c r="F7" s="152"/>
      <c r="G7" s="152"/>
      <c r="K7" s="137"/>
      <c r="L7" s="124"/>
      <c r="O7" s="126"/>
      <c r="P7" s="127"/>
    </row>
    <row r="8" spans="1:16" ht="15.5" x14ac:dyDescent="0.35">
      <c r="A8" s="35" t="s">
        <v>180</v>
      </c>
      <c r="B8" s="164">
        <v>109.85263989000001</v>
      </c>
      <c r="C8" s="164">
        <v>415.39487724000003</v>
      </c>
      <c r="D8" s="164">
        <v>172.00093407</v>
      </c>
      <c r="E8" s="164">
        <v>1228.99592886</v>
      </c>
      <c r="F8" s="152"/>
      <c r="G8" s="152"/>
      <c r="K8" s="137"/>
      <c r="L8" s="124"/>
      <c r="O8" s="126"/>
      <c r="P8" s="127"/>
    </row>
    <row r="9" spans="1:16" ht="15.5" x14ac:dyDescent="0.35">
      <c r="A9" s="35" t="s">
        <v>181</v>
      </c>
      <c r="B9" s="164">
        <v>148.01097234</v>
      </c>
      <c r="C9" s="164">
        <v>454.12273704000006</v>
      </c>
      <c r="D9" s="164">
        <v>243.75770580000002</v>
      </c>
      <c r="E9" s="164">
        <v>1248.183489</v>
      </c>
      <c r="F9" s="152"/>
      <c r="G9" s="152"/>
      <c r="K9" s="137"/>
      <c r="L9" s="124"/>
      <c r="O9" s="126"/>
      <c r="P9" s="127"/>
    </row>
    <row r="10" spans="1:16" ht="15.5" x14ac:dyDescent="0.35">
      <c r="A10" s="35" t="s">
        <v>182</v>
      </c>
      <c r="B10" s="164">
        <v>183.14162390999999</v>
      </c>
      <c r="C10" s="164">
        <v>477.81874917000005</v>
      </c>
      <c r="D10" s="164">
        <v>327.26511279000005</v>
      </c>
      <c r="E10" s="164">
        <v>1257.26653164</v>
      </c>
      <c r="F10" s="152"/>
      <c r="G10" s="152"/>
      <c r="H10" s="151"/>
      <c r="K10" s="137"/>
      <c r="L10" s="124"/>
      <c r="N10" s="127"/>
      <c r="O10" s="126"/>
      <c r="P10" s="127"/>
    </row>
    <row r="11" spans="1:16" ht="15.5" x14ac:dyDescent="0.35">
      <c r="A11" s="35" t="s">
        <v>183</v>
      </c>
      <c r="B11" s="164">
        <v>228.96101781000002</v>
      </c>
      <c r="C11" s="164">
        <v>444.46649267999999</v>
      </c>
      <c r="D11" s="164">
        <v>419.73063384000005</v>
      </c>
      <c r="E11" s="164">
        <v>1246.5777893100001</v>
      </c>
      <c r="F11" s="152"/>
      <c r="G11" s="152"/>
      <c r="H11" s="151"/>
      <c r="K11" s="137"/>
      <c r="L11" s="124"/>
      <c r="N11" s="127"/>
      <c r="O11" s="126"/>
      <c r="P11" s="127"/>
    </row>
    <row r="12" spans="1:16" ht="15.5" x14ac:dyDescent="0.35">
      <c r="A12" s="35" t="s">
        <v>184</v>
      </c>
      <c r="B12" s="164">
        <v>292.28143602</v>
      </c>
      <c r="C12" s="164">
        <v>415.81742979000006</v>
      </c>
      <c r="D12" s="164">
        <v>518.79532341000004</v>
      </c>
      <c r="E12" s="164">
        <v>1207.0599399600001</v>
      </c>
      <c r="F12" s="152"/>
      <c r="G12" s="152"/>
      <c r="H12" s="151"/>
      <c r="K12" s="137"/>
      <c r="L12" s="124"/>
      <c r="N12" s="127"/>
      <c r="O12" s="126"/>
    </row>
    <row r="13" spans="1:16" ht="15.5" x14ac:dyDescent="0.35">
      <c r="A13" s="35" t="s">
        <v>185</v>
      </c>
      <c r="B13" s="164">
        <v>347.48884527000001</v>
      </c>
      <c r="C13" s="164">
        <v>424.92619302000003</v>
      </c>
      <c r="D13" s="164">
        <v>609.15910482000004</v>
      </c>
      <c r="E13" s="164">
        <v>1170.40442484</v>
      </c>
      <c r="F13" s="152"/>
      <c r="G13" s="152"/>
      <c r="H13" s="151"/>
      <c r="K13" s="137"/>
      <c r="L13" s="124"/>
      <c r="N13" s="127"/>
      <c r="O13" s="126"/>
    </row>
    <row r="14" spans="1:16" ht="15.5" x14ac:dyDescent="0.35">
      <c r="A14" s="35" t="s">
        <v>186</v>
      </c>
      <c r="B14" s="164">
        <v>391.72458569999998</v>
      </c>
      <c r="C14" s="164">
        <v>424.13620347</v>
      </c>
      <c r="D14" s="164">
        <v>727.11005619000002</v>
      </c>
      <c r="E14" s="164">
        <v>1106.41159692</v>
      </c>
      <c r="F14" s="152"/>
      <c r="G14" s="152"/>
      <c r="H14" s="151"/>
      <c r="K14" s="137"/>
      <c r="L14" s="124"/>
      <c r="N14" s="127"/>
      <c r="O14" s="126"/>
    </row>
    <row r="15" spans="1:16" ht="15.5" x14ac:dyDescent="0.35">
      <c r="A15" s="35" t="s">
        <v>187</v>
      </c>
      <c r="B15" s="164">
        <v>449.8898628</v>
      </c>
      <c r="C15" s="164">
        <v>417.12917988000004</v>
      </c>
      <c r="D15" s="164">
        <v>816.50747828999999</v>
      </c>
      <c r="E15" s="164">
        <v>1063.3957473300002</v>
      </c>
      <c r="F15" s="152"/>
      <c r="G15" s="152"/>
      <c r="H15" s="151"/>
      <c r="K15" s="137"/>
      <c r="L15" s="124"/>
      <c r="N15" s="127"/>
      <c r="O15" s="126"/>
    </row>
    <row r="16" spans="1:16" ht="15.5" x14ac:dyDescent="0.35">
      <c r="A16" s="155" t="s">
        <v>188</v>
      </c>
      <c r="B16" s="164">
        <v>532.40886425999997</v>
      </c>
      <c r="C16" s="164">
        <v>395.75536959000004</v>
      </c>
      <c r="D16" s="164">
        <v>905.1406314300001</v>
      </c>
      <c r="E16" s="164">
        <v>1002.9854301600001</v>
      </c>
      <c r="F16" s="152"/>
      <c r="G16" s="152"/>
      <c r="H16" s="151"/>
      <c r="K16" s="137"/>
      <c r="L16" s="127"/>
      <c r="N16" s="127"/>
    </row>
    <row r="17" spans="1:18" ht="15.5" x14ac:dyDescent="0.35">
      <c r="A17" s="155" t="s">
        <v>189</v>
      </c>
      <c r="B17" s="164">
        <v>587.45460122999998</v>
      </c>
      <c r="C17" s="164">
        <v>365.83130031000002</v>
      </c>
      <c r="D17" s="164">
        <v>996.72430368000016</v>
      </c>
      <c r="E17" s="164">
        <v>926.35276944000009</v>
      </c>
      <c r="F17" s="152"/>
      <c r="G17" s="152"/>
      <c r="H17" s="151"/>
      <c r="K17" s="125"/>
      <c r="L17" s="127"/>
      <c r="P17" s="124"/>
      <c r="Q17" s="124"/>
      <c r="R17" s="124"/>
    </row>
    <row r="18" spans="1:18" ht="15.5" x14ac:dyDescent="0.35">
      <c r="A18" s="155" t="s">
        <v>190</v>
      </c>
      <c r="B18" s="164">
        <v>640.48678343999995</v>
      </c>
      <c r="C18" s="164">
        <v>351.39102620999995</v>
      </c>
      <c r="D18" s="164">
        <v>1095.61262349</v>
      </c>
      <c r="E18" s="164">
        <v>848.37161493000008</v>
      </c>
      <c r="F18" s="149"/>
      <c r="G18" s="149"/>
      <c r="H18" s="149"/>
      <c r="I18" s="149"/>
      <c r="J18" s="149"/>
      <c r="K18" s="125"/>
      <c r="L18" s="127"/>
      <c r="P18" s="13"/>
      <c r="Q18" s="13"/>
    </row>
    <row r="19" spans="1:18" ht="15.5" x14ac:dyDescent="0.35">
      <c r="A19" s="14" t="s">
        <v>191</v>
      </c>
      <c r="B19" s="165">
        <v>692.14107690000003</v>
      </c>
      <c r="C19" s="165">
        <v>352.30226997000005</v>
      </c>
      <c r="D19" s="165">
        <v>1189.9006320599999</v>
      </c>
      <c r="E19" s="165">
        <v>787.11619266000002</v>
      </c>
      <c r="F19" s="149"/>
      <c r="G19" s="149"/>
      <c r="H19" s="149"/>
      <c r="I19" s="149"/>
      <c r="J19" s="149"/>
      <c r="K19" s="125"/>
      <c r="L19" s="127"/>
      <c r="N19" s="126"/>
      <c r="O19" s="126"/>
      <c r="P19" s="13"/>
      <c r="Q19" s="13"/>
    </row>
    <row r="20" spans="1:18" ht="15.5" x14ac:dyDescent="0.35">
      <c r="A20" s="14" t="s">
        <v>192</v>
      </c>
      <c r="B20" s="165">
        <v>729.15300591000005</v>
      </c>
      <c r="C20" s="165">
        <v>342.33737853000002</v>
      </c>
      <c r="D20" s="165">
        <v>1282.4359661400001</v>
      </c>
      <c r="E20" s="165">
        <v>707.54036156999996</v>
      </c>
      <c r="F20" s="149"/>
      <c r="G20" s="149"/>
      <c r="H20" s="149"/>
      <c r="I20" s="149"/>
      <c r="J20" s="149"/>
      <c r="K20" s="125"/>
      <c r="L20" s="127"/>
      <c r="N20" s="9"/>
      <c r="O20" s="126"/>
      <c r="P20" s="13"/>
      <c r="Q20" s="13"/>
    </row>
    <row r="21" spans="1:18" ht="15.5" x14ac:dyDescent="0.35">
      <c r="A21" s="35" t="s">
        <v>193</v>
      </c>
      <c r="B21" s="165">
        <v>765.92242650000003</v>
      </c>
      <c r="C21" s="165">
        <v>314.92290395999993</v>
      </c>
      <c r="D21" s="165">
        <v>1367.5270266</v>
      </c>
      <c r="E21" s="165">
        <v>643.49609247000001</v>
      </c>
      <c r="F21" s="149"/>
      <c r="G21" s="149"/>
      <c r="H21" s="149"/>
      <c r="I21" s="149"/>
      <c r="J21" s="149"/>
      <c r="K21" s="125"/>
      <c r="L21" s="127"/>
      <c r="N21" s="9"/>
      <c r="O21" s="126"/>
      <c r="P21" s="13"/>
      <c r="Q21" s="13"/>
    </row>
    <row r="22" spans="1:18" ht="15.5" x14ac:dyDescent="0.35">
      <c r="A22" s="35" t="s">
        <v>194</v>
      </c>
      <c r="B22" s="165">
        <v>807.03219665250015</v>
      </c>
      <c r="C22" s="165">
        <v>286.87643775000004</v>
      </c>
      <c r="D22" s="165">
        <v>1435.7564031300001</v>
      </c>
      <c r="E22" s="165">
        <v>576.62255847000006</v>
      </c>
      <c r="F22" s="149"/>
      <c r="G22" s="149"/>
      <c r="H22" s="149"/>
      <c r="I22" s="149"/>
      <c r="J22" s="149"/>
      <c r="K22" s="125"/>
      <c r="L22" s="127"/>
      <c r="N22" s="9"/>
      <c r="O22" s="126"/>
      <c r="P22" s="13"/>
      <c r="Q22" s="13"/>
    </row>
    <row r="23" spans="1:18" ht="15.5" x14ac:dyDescent="0.35">
      <c r="A23" s="35" t="s">
        <v>195</v>
      </c>
      <c r="B23" s="165">
        <v>851.45654249460006</v>
      </c>
      <c r="C23" s="165">
        <v>266.04643422000004</v>
      </c>
      <c r="D23" s="165">
        <v>1506.0764961899999</v>
      </c>
      <c r="E23" s="165">
        <v>535.02869007000004</v>
      </c>
      <c r="F23" s="149"/>
      <c r="G23" s="149"/>
      <c r="H23" s="149"/>
      <c r="I23" s="149"/>
      <c r="J23" s="149"/>
      <c r="K23" s="125"/>
      <c r="L23" s="127"/>
      <c r="N23" s="9"/>
      <c r="O23" s="126"/>
      <c r="P23" s="13"/>
      <c r="Q23" s="13"/>
    </row>
    <row r="24" spans="1:18" ht="15.5" x14ac:dyDescent="0.35">
      <c r="A24" s="35" t="s">
        <v>196</v>
      </c>
      <c r="B24" s="165">
        <v>890.15085529650003</v>
      </c>
      <c r="C24" s="165">
        <v>256.37916675000002</v>
      </c>
      <c r="D24" s="165">
        <v>1593.4934328600002</v>
      </c>
      <c r="E24" s="165">
        <v>514.40077688999997</v>
      </c>
      <c r="F24" s="149"/>
      <c r="G24" s="149"/>
      <c r="H24" s="149"/>
      <c r="I24" s="149"/>
      <c r="J24" s="149"/>
      <c r="K24" s="125"/>
      <c r="L24" s="9"/>
      <c r="N24" s="9"/>
      <c r="O24" s="126"/>
      <c r="P24" s="13"/>
      <c r="Q24" s="13"/>
    </row>
    <row r="25" spans="1:18" ht="15.5" x14ac:dyDescent="0.35">
      <c r="A25" s="35" t="s">
        <v>197</v>
      </c>
      <c r="B25" s="165">
        <v>932.85092952870002</v>
      </c>
      <c r="C25" s="165">
        <v>228.39516483</v>
      </c>
      <c r="D25" s="165">
        <v>1674.1274825100002</v>
      </c>
      <c r="E25" s="165">
        <v>450.88929144000008</v>
      </c>
      <c r="F25" s="149"/>
      <c r="G25" s="149"/>
      <c r="H25" s="149"/>
      <c r="I25" s="149"/>
      <c r="J25" s="149"/>
      <c r="K25" s="125"/>
      <c r="L25" s="9"/>
      <c r="N25" s="9"/>
      <c r="O25" s="126"/>
      <c r="P25" s="13"/>
      <c r="Q25" s="13"/>
    </row>
    <row r="26" spans="1:18" ht="15.5" x14ac:dyDescent="0.35">
      <c r="A26" s="35" t="s">
        <v>198</v>
      </c>
      <c r="B26" s="165">
        <v>983.64299532450002</v>
      </c>
      <c r="C26" s="165">
        <v>201.03948017999997</v>
      </c>
      <c r="D26" s="165"/>
      <c r="E26" s="165"/>
      <c r="F26" s="149"/>
      <c r="G26" s="149"/>
      <c r="H26" s="149"/>
      <c r="I26" s="149"/>
      <c r="J26" s="149"/>
      <c r="K26" s="125"/>
      <c r="L26" s="9"/>
      <c r="N26" s="9"/>
      <c r="O26" s="126"/>
      <c r="P26" s="13"/>
      <c r="Q26" s="13"/>
    </row>
    <row r="27" spans="1:18" ht="15.5" x14ac:dyDescent="0.35">
      <c r="A27" s="35" t="s">
        <v>199</v>
      </c>
      <c r="B27" s="165">
        <v>1005.4446860009999</v>
      </c>
      <c r="C27" s="165">
        <v>202.27039413</v>
      </c>
      <c r="D27" s="165"/>
      <c r="E27" s="165"/>
      <c r="F27" s="149"/>
      <c r="G27" s="149"/>
      <c r="H27" s="149"/>
      <c r="I27" s="149"/>
      <c r="J27" s="149"/>
      <c r="K27" s="125"/>
      <c r="L27" s="9"/>
      <c r="N27" s="9"/>
      <c r="O27" s="126"/>
      <c r="P27" s="13"/>
      <c r="Q27" s="13"/>
    </row>
    <row r="28" spans="1:18" ht="15.5" x14ac:dyDescent="0.35">
      <c r="A28" s="35" t="s">
        <v>200</v>
      </c>
      <c r="B28" s="165">
        <v>1040.6382427854001</v>
      </c>
      <c r="C28" s="165">
        <v>185.23968918</v>
      </c>
      <c r="D28" s="165"/>
      <c r="E28" s="165"/>
      <c r="F28" s="149"/>
      <c r="G28" s="149"/>
      <c r="H28" s="149"/>
      <c r="I28" s="149"/>
      <c r="J28" s="149"/>
      <c r="K28" s="125"/>
      <c r="L28" s="9"/>
      <c r="N28" s="9"/>
      <c r="O28" s="126"/>
      <c r="P28" s="13"/>
      <c r="Q28" s="13"/>
    </row>
    <row r="29" spans="1:18" ht="15.5" x14ac:dyDescent="0.35">
      <c r="A29" s="35" t="s">
        <v>201</v>
      </c>
      <c r="B29" s="165">
        <v>1062.6089912256</v>
      </c>
      <c r="C29" s="165">
        <v>175.73776835999999</v>
      </c>
      <c r="D29" s="165"/>
      <c r="E29" s="165"/>
      <c r="F29" s="149"/>
      <c r="G29" s="149"/>
      <c r="H29" s="149"/>
      <c r="I29" s="149"/>
      <c r="J29" s="149"/>
      <c r="K29" s="125"/>
      <c r="L29" s="9"/>
      <c r="N29" s="9"/>
      <c r="O29" s="126"/>
      <c r="P29" s="13"/>
      <c r="Q29" s="13"/>
    </row>
    <row r="30" spans="1:18" ht="15.5" x14ac:dyDescent="0.35">
      <c r="A30" s="35" t="s">
        <v>202</v>
      </c>
      <c r="B30" s="165">
        <v>1087.2082002453001</v>
      </c>
      <c r="C30" s="165">
        <v>162.85910151000002</v>
      </c>
      <c r="D30" s="165"/>
      <c r="E30" s="165"/>
      <c r="F30" s="149"/>
      <c r="G30" s="149"/>
      <c r="H30" s="149"/>
      <c r="I30" s="149"/>
      <c r="J30" s="149"/>
      <c r="K30" s="125"/>
      <c r="L30" s="9"/>
      <c r="N30" s="9"/>
      <c r="O30" s="126"/>
    </row>
    <row r="31" spans="1:18" ht="14" x14ac:dyDescent="0.3">
      <c r="A31" s="35" t="s">
        <v>203</v>
      </c>
      <c r="B31" s="166">
        <v>1105.6898036772</v>
      </c>
      <c r="C31" s="166">
        <v>153.12936975</v>
      </c>
      <c r="D31" s="166"/>
      <c r="E31" s="166"/>
      <c r="J31" s="140"/>
      <c r="K31" s="9"/>
      <c r="L31" s="9"/>
      <c r="N31" s="9"/>
      <c r="O31" s="126"/>
    </row>
    <row r="32" spans="1:18" ht="14" x14ac:dyDescent="0.3">
      <c r="A32" s="35" t="s">
        <v>204</v>
      </c>
      <c r="B32" s="166">
        <v>1121.8466699538001</v>
      </c>
      <c r="C32" s="166">
        <v>158.57478609</v>
      </c>
      <c r="D32" s="166"/>
      <c r="E32" s="166"/>
      <c r="J32" s="140"/>
      <c r="K32" s="126"/>
      <c r="L32" s="126"/>
      <c r="N32" s="126"/>
      <c r="O32" s="126"/>
    </row>
    <row r="33" spans="1:15" ht="14" x14ac:dyDescent="0.3">
      <c r="A33" s="35" t="s">
        <v>205</v>
      </c>
      <c r="B33" s="166">
        <v>1144.1538437112001</v>
      </c>
      <c r="C33" s="166">
        <v>169.49501373000001</v>
      </c>
      <c r="D33" s="166"/>
      <c r="E33" s="166"/>
      <c r="J33" s="140"/>
      <c r="K33" s="126"/>
      <c r="L33" s="126"/>
      <c r="N33" s="126"/>
      <c r="O33" s="126"/>
    </row>
    <row r="34" spans="1:15" ht="14" x14ac:dyDescent="0.3">
      <c r="A34" s="35" t="s">
        <v>206</v>
      </c>
      <c r="B34" s="166">
        <v>1161.3636374550001</v>
      </c>
      <c r="C34" s="166">
        <v>187.46635740000002</v>
      </c>
      <c r="D34" s="166"/>
      <c r="E34" s="166"/>
      <c r="J34" s="140"/>
      <c r="K34" s="126"/>
      <c r="L34" s="126"/>
      <c r="N34" s="126"/>
      <c r="O34" s="126"/>
    </row>
    <row r="35" spans="1:15" ht="14" x14ac:dyDescent="0.3">
      <c r="A35" s="35" t="s">
        <v>207</v>
      </c>
      <c r="B35" s="166">
        <v>1174.6657387037999</v>
      </c>
      <c r="C35" s="166">
        <v>193.39679057999999</v>
      </c>
      <c r="D35" s="166"/>
      <c r="E35" s="166"/>
      <c r="J35" s="140"/>
      <c r="K35" s="13"/>
      <c r="L35" s="13"/>
      <c r="N35" s="13"/>
    </row>
    <row r="36" spans="1:15" ht="14" x14ac:dyDescent="0.3">
      <c r="A36" s="35" t="s">
        <v>208</v>
      </c>
      <c r="B36" s="166">
        <v>1193.9568058467</v>
      </c>
      <c r="C36" s="166">
        <v>183.09753147000001</v>
      </c>
      <c r="D36" s="166"/>
      <c r="E36" s="166"/>
      <c r="J36" s="140"/>
      <c r="K36" s="13"/>
      <c r="L36" s="13"/>
      <c r="N36" s="13"/>
    </row>
    <row r="37" spans="1:15" ht="14" x14ac:dyDescent="0.3">
      <c r="A37" s="35" t="s">
        <v>209</v>
      </c>
      <c r="B37" s="166">
        <v>1213.3783498683001</v>
      </c>
      <c r="C37" s="166">
        <v>176.35138814999999</v>
      </c>
      <c r="D37" s="166"/>
      <c r="E37" s="166"/>
      <c r="J37" s="140"/>
      <c r="K37" s="13"/>
      <c r="L37" s="13"/>
      <c r="N37" s="13"/>
    </row>
    <row r="38" spans="1:15" ht="14" x14ac:dyDescent="0.3">
      <c r="A38" s="35" t="s">
        <v>210</v>
      </c>
      <c r="B38" s="166">
        <v>1234.3327675664998</v>
      </c>
      <c r="C38" s="166">
        <v>195.01718775000001</v>
      </c>
      <c r="D38" s="166"/>
      <c r="E38" s="166"/>
      <c r="J38" s="140"/>
      <c r="K38" s="13"/>
      <c r="L38" s="13"/>
      <c r="N38" s="13"/>
    </row>
    <row r="39" spans="1:15" ht="14" x14ac:dyDescent="0.3">
      <c r="A39" s="35" t="s">
        <v>211</v>
      </c>
      <c r="B39" s="166">
        <v>1250.5188083409003</v>
      </c>
      <c r="C39" s="166">
        <v>202.82889837000002</v>
      </c>
      <c r="D39" s="166"/>
      <c r="E39" s="166"/>
      <c r="J39" s="140"/>
      <c r="K39" s="13"/>
      <c r="L39" s="13"/>
      <c r="N39" s="13"/>
    </row>
    <row r="40" spans="1:15" ht="14" x14ac:dyDescent="0.3">
      <c r="A40" s="35" t="s">
        <v>212</v>
      </c>
      <c r="B40" s="166">
        <v>1263.6287400387002</v>
      </c>
      <c r="C40" s="166">
        <v>209.50522866</v>
      </c>
      <c r="D40" s="166"/>
      <c r="E40" s="166"/>
      <c r="J40" s="140"/>
      <c r="K40" s="13"/>
      <c r="L40" s="13"/>
      <c r="N40" s="13"/>
    </row>
    <row r="41" spans="1:15" ht="14" x14ac:dyDescent="0.3">
      <c r="A41" s="35" t="s">
        <v>213</v>
      </c>
      <c r="B41" s="166">
        <v>1282.0023169926001</v>
      </c>
      <c r="C41" s="166">
        <v>235.40586278999999</v>
      </c>
      <c r="D41" s="166"/>
      <c r="E41" s="166"/>
      <c r="J41" s="140"/>
      <c r="K41" s="13"/>
      <c r="L41" s="13"/>
      <c r="N41" s="13"/>
    </row>
    <row r="42" spans="1:15" ht="14" x14ac:dyDescent="0.3">
      <c r="A42" s="35" t="s">
        <v>214</v>
      </c>
      <c r="B42" s="166">
        <v>1294.1932887533999</v>
      </c>
      <c r="C42" s="166">
        <v>246.88826904000001</v>
      </c>
      <c r="D42" s="166"/>
      <c r="E42" s="166"/>
      <c r="J42" s="140"/>
      <c r="K42" s="13"/>
      <c r="L42" s="13"/>
      <c r="N42" s="13"/>
    </row>
    <row r="43" spans="1:15" ht="14" x14ac:dyDescent="0.3">
      <c r="A43" s="35" t="s">
        <v>215</v>
      </c>
      <c r="B43" s="166">
        <v>1311.9417083955</v>
      </c>
      <c r="C43" s="166">
        <v>247.33286781000001</v>
      </c>
      <c r="D43" s="166"/>
      <c r="E43" s="166"/>
      <c r="J43" s="140"/>
      <c r="K43" s="13"/>
      <c r="L43" s="13"/>
      <c r="N43" s="13"/>
    </row>
    <row r="44" spans="1:15" ht="14" x14ac:dyDescent="0.3">
      <c r="A44" s="35" t="s">
        <v>216</v>
      </c>
      <c r="B44" s="166">
        <v>1322.6936131458001</v>
      </c>
      <c r="C44" s="166">
        <v>273.46131287999998</v>
      </c>
      <c r="D44" s="166"/>
      <c r="E44" s="166"/>
      <c r="J44" s="140"/>
      <c r="K44" s="13"/>
      <c r="L44" s="13"/>
      <c r="N44" s="13"/>
    </row>
    <row r="45" spans="1:15" ht="14" x14ac:dyDescent="0.3">
      <c r="A45" s="35" t="s">
        <v>217</v>
      </c>
      <c r="B45" s="166">
        <v>1336.9327889757001</v>
      </c>
      <c r="C45" s="166">
        <v>278.99491410000002</v>
      </c>
      <c r="D45" s="166"/>
      <c r="E45" s="166"/>
      <c r="J45" s="118"/>
      <c r="L45" s="118"/>
    </row>
    <row r="46" spans="1:15" ht="14" x14ac:dyDescent="0.3">
      <c r="A46" s="35" t="s">
        <v>218</v>
      </c>
      <c r="B46" s="166">
        <v>1348.0425773640002</v>
      </c>
      <c r="C46" s="166">
        <v>289.99965225</v>
      </c>
      <c r="D46" s="166"/>
      <c r="E46" s="166"/>
      <c r="J46" s="118"/>
      <c r="L46" s="118"/>
    </row>
    <row r="47" spans="1:15" ht="14" x14ac:dyDescent="0.3">
      <c r="A47" s="35" t="s">
        <v>219</v>
      </c>
      <c r="B47" s="166">
        <v>1362.3362808447002</v>
      </c>
      <c r="C47" s="166">
        <v>284.58363087000004</v>
      </c>
      <c r="D47" s="166"/>
      <c r="E47" s="166"/>
      <c r="J47" s="118"/>
      <c r="L47" s="118"/>
    </row>
    <row r="48" spans="1:15" ht="14" x14ac:dyDescent="0.3">
      <c r="A48" s="35" t="s">
        <v>220</v>
      </c>
      <c r="B48" s="166">
        <v>1379.5141443131999</v>
      </c>
      <c r="C48" s="166">
        <v>302.39330225999998</v>
      </c>
      <c r="D48" s="166"/>
      <c r="E48" s="166"/>
      <c r="J48" s="118"/>
      <c r="L48" s="118"/>
    </row>
    <row r="49" spans="1:12" ht="14" x14ac:dyDescent="0.3">
      <c r="A49" s="35" t="s">
        <v>221</v>
      </c>
      <c r="B49" s="166">
        <v>1400.6540074653001</v>
      </c>
      <c r="C49" s="166">
        <v>292.75542975000002</v>
      </c>
      <c r="D49" s="166"/>
      <c r="E49" s="166"/>
      <c r="J49" s="118"/>
      <c r="L49" s="118"/>
    </row>
    <row r="50" spans="1:12" ht="14" x14ac:dyDescent="0.3">
      <c r="A50" s="35" t="s">
        <v>222</v>
      </c>
      <c r="B50" s="166">
        <v>1415.7012140019001</v>
      </c>
      <c r="C50" s="166">
        <v>289.00389798000003</v>
      </c>
      <c r="D50" s="166"/>
      <c r="E50" s="166"/>
      <c r="J50" s="118"/>
      <c r="L50" s="118"/>
    </row>
    <row r="51" spans="1:12" ht="14" x14ac:dyDescent="0.3">
      <c r="A51" s="35" t="s">
        <v>223</v>
      </c>
      <c r="B51" s="166">
        <v>1438.3952621766</v>
      </c>
      <c r="C51" s="166">
        <v>273.69279819000002</v>
      </c>
      <c r="D51" s="166"/>
      <c r="E51" s="166"/>
      <c r="J51" s="118"/>
      <c r="L51" s="118"/>
    </row>
    <row r="52" spans="1:12" ht="14" x14ac:dyDescent="0.3">
      <c r="A52" s="35" t="s">
        <v>224</v>
      </c>
      <c r="B52" s="166">
        <v>1468.3099618130998</v>
      </c>
      <c r="C52" s="166">
        <v>256.46367726</v>
      </c>
      <c r="D52" s="166"/>
      <c r="E52" s="166"/>
      <c r="J52" s="118"/>
      <c r="L52" s="118"/>
    </row>
    <row r="53" spans="1:12" ht="14" x14ac:dyDescent="0.3">
      <c r="A53" s="35" t="s">
        <v>225</v>
      </c>
      <c r="B53" s="166">
        <v>1508.8726917600002</v>
      </c>
      <c r="C53" s="166">
        <v>236.84621582999998</v>
      </c>
      <c r="D53" s="166"/>
      <c r="E53" s="166"/>
      <c r="J53" s="118"/>
      <c r="L53" s="118"/>
    </row>
    <row r="54" spans="1:12" ht="14" x14ac:dyDescent="0.3">
      <c r="A54" s="35" t="s">
        <v>226</v>
      </c>
      <c r="B54" s="166">
        <v>1541.9052780600002</v>
      </c>
      <c r="C54" s="166">
        <v>203.34698453999999</v>
      </c>
      <c r="D54" s="166"/>
      <c r="E54" s="166"/>
      <c r="J54" s="118"/>
      <c r="L54" s="118"/>
    </row>
    <row r="55" spans="1:12" ht="14" x14ac:dyDescent="0.3">
      <c r="A55" s="35" t="s">
        <v>227</v>
      </c>
      <c r="B55" s="166">
        <v>1584.21932298</v>
      </c>
      <c r="C55" s="166">
        <v>158.30288271000003</v>
      </c>
      <c r="D55" s="166"/>
      <c r="E55" s="166"/>
      <c r="J55" s="118"/>
      <c r="L55" s="118"/>
    </row>
    <row r="56" spans="1:12" ht="14" x14ac:dyDescent="0.3">
      <c r="A56" s="35" t="s">
        <v>228</v>
      </c>
      <c r="B56" s="166">
        <v>1616.5170352800003</v>
      </c>
      <c r="C56" s="166">
        <v>129.24596475000001</v>
      </c>
      <c r="D56" s="166"/>
      <c r="E56" s="166"/>
      <c r="J56" s="118"/>
      <c r="L56" s="118"/>
    </row>
    <row r="57" spans="1:12" x14ac:dyDescent="0.25">
      <c r="A57" s="144"/>
      <c r="J57" s="118"/>
      <c r="L57" s="118"/>
    </row>
    <row r="58" spans="1:12" x14ac:dyDescent="0.25">
      <c r="A58" s="144"/>
      <c r="J58" s="118"/>
      <c r="L58" s="118"/>
    </row>
    <row r="59" spans="1:12" x14ac:dyDescent="0.25">
      <c r="A59" s="144"/>
      <c r="J59" s="118"/>
      <c r="L59" s="118"/>
    </row>
    <row r="60" spans="1:12" x14ac:dyDescent="0.25">
      <c r="A60" s="144"/>
      <c r="J60" s="118"/>
      <c r="L60" s="118"/>
    </row>
    <row r="61" spans="1:12" x14ac:dyDescent="0.25">
      <c r="A61" s="144"/>
      <c r="J61" s="118"/>
      <c r="L61" s="118"/>
    </row>
    <row r="62" spans="1:12" x14ac:dyDescent="0.25">
      <c r="A62" s="144"/>
      <c r="J62" s="118"/>
      <c r="L62" s="118"/>
    </row>
    <row r="63" spans="1:12" x14ac:dyDescent="0.25">
      <c r="A63" s="144"/>
      <c r="J63" s="118"/>
      <c r="L63" s="118"/>
    </row>
    <row r="64" spans="1:12" x14ac:dyDescent="0.25">
      <c r="A64" s="144"/>
      <c r="J64" s="118"/>
      <c r="L64" s="118"/>
    </row>
    <row r="65" spans="1:12" x14ac:dyDescent="0.25">
      <c r="A65" s="144"/>
      <c r="J65" s="118"/>
      <c r="L65" s="118"/>
    </row>
    <row r="66" spans="1:12" x14ac:dyDescent="0.25">
      <c r="A66" s="144"/>
      <c r="J66" s="118"/>
      <c r="L66" s="118"/>
    </row>
    <row r="67" spans="1:12" x14ac:dyDescent="0.25">
      <c r="A67" s="144"/>
      <c r="J67" s="118"/>
      <c r="L67" s="118"/>
    </row>
    <row r="68" spans="1:12" x14ac:dyDescent="0.25">
      <c r="A68" s="144"/>
      <c r="J68" s="118"/>
      <c r="L68" s="118"/>
    </row>
    <row r="69" spans="1:12" x14ac:dyDescent="0.25">
      <c r="A69" s="144"/>
      <c r="J69" s="118"/>
      <c r="L69" s="118"/>
    </row>
    <row r="70" spans="1:12" x14ac:dyDescent="0.25">
      <c r="A70" s="144"/>
      <c r="J70" s="118"/>
      <c r="L70" s="118"/>
    </row>
    <row r="71" spans="1:12" x14ac:dyDescent="0.25">
      <c r="A71" s="144"/>
      <c r="J71" s="118"/>
      <c r="L71" s="118"/>
    </row>
    <row r="72" spans="1:12" x14ac:dyDescent="0.25">
      <c r="A72" s="144"/>
      <c r="J72" s="118"/>
      <c r="L72" s="118"/>
    </row>
    <row r="73" spans="1:12" x14ac:dyDescent="0.25">
      <c r="A73" s="144"/>
      <c r="J73" s="118"/>
      <c r="L73" s="118"/>
    </row>
    <row r="74" spans="1:12" x14ac:dyDescent="0.25">
      <c r="A74" s="144"/>
      <c r="J74" s="118"/>
      <c r="L74" s="118"/>
    </row>
    <row r="75" spans="1:12" x14ac:dyDescent="0.25">
      <c r="A75" s="144"/>
      <c r="J75" s="118"/>
      <c r="L75" s="118"/>
    </row>
    <row r="76" spans="1:12" x14ac:dyDescent="0.25">
      <c r="A76" s="144"/>
      <c r="J76" s="118"/>
      <c r="L76" s="118"/>
    </row>
    <row r="77" spans="1:12" x14ac:dyDescent="0.25">
      <c r="A77" s="144"/>
      <c r="J77" s="118"/>
      <c r="L77" s="118"/>
    </row>
    <row r="78" spans="1:12" x14ac:dyDescent="0.25">
      <c r="A78" s="144"/>
      <c r="J78" s="118"/>
      <c r="L78" s="118"/>
    </row>
    <row r="79" spans="1:12" x14ac:dyDescent="0.25">
      <c r="A79" s="144"/>
      <c r="J79" s="118"/>
      <c r="L79" s="118"/>
    </row>
    <row r="80" spans="1:12" x14ac:dyDescent="0.25">
      <c r="A80" s="144"/>
      <c r="J80" s="118"/>
      <c r="L80" s="118"/>
    </row>
    <row r="81" spans="1:12" x14ac:dyDescent="0.25">
      <c r="A81" s="144"/>
      <c r="J81" s="118"/>
      <c r="L81" s="118"/>
    </row>
    <row r="82" spans="1:12" x14ac:dyDescent="0.25">
      <c r="A82" s="144"/>
      <c r="J82" s="118"/>
      <c r="L82" s="118"/>
    </row>
    <row r="83" spans="1:12" x14ac:dyDescent="0.25">
      <c r="A83" s="144"/>
      <c r="J83" s="118"/>
      <c r="L83" s="118"/>
    </row>
    <row r="84" spans="1:12" x14ac:dyDescent="0.25">
      <c r="A84" s="144"/>
      <c r="J84" s="118"/>
      <c r="L84" s="118"/>
    </row>
    <row r="85" spans="1:12" x14ac:dyDescent="0.25">
      <c r="A85" s="144"/>
      <c r="J85" s="118"/>
      <c r="L85" s="118"/>
    </row>
    <row r="86" spans="1:12" x14ac:dyDescent="0.25">
      <c r="A86" s="144"/>
      <c r="J86" s="118"/>
      <c r="L86" s="118"/>
    </row>
    <row r="87" spans="1:12" x14ac:dyDescent="0.25">
      <c r="A87" s="144"/>
      <c r="J87" s="118"/>
      <c r="L87" s="118"/>
    </row>
    <row r="88" spans="1:12" x14ac:dyDescent="0.25">
      <c r="A88" s="144"/>
      <c r="J88" s="118"/>
      <c r="L88" s="118"/>
    </row>
    <row r="89" spans="1:12" x14ac:dyDescent="0.25">
      <c r="A89" s="144"/>
      <c r="J89" s="118"/>
      <c r="L89" s="118"/>
    </row>
    <row r="90" spans="1:12" x14ac:dyDescent="0.25">
      <c r="A90" s="144"/>
      <c r="J90" s="118"/>
      <c r="L90" s="118"/>
    </row>
    <row r="91" spans="1:12" x14ac:dyDescent="0.25">
      <c r="A91" s="144"/>
      <c r="J91" s="118"/>
      <c r="L91" s="118"/>
    </row>
    <row r="92" spans="1:12" x14ac:dyDescent="0.25">
      <c r="A92" s="144"/>
      <c r="J92" s="118"/>
      <c r="L92" s="118"/>
    </row>
    <row r="93" spans="1:12" x14ac:dyDescent="0.25">
      <c r="A93" s="144"/>
      <c r="J93" s="118"/>
      <c r="L93" s="118"/>
    </row>
    <row r="94" spans="1:12" x14ac:dyDescent="0.25">
      <c r="A94" s="144"/>
      <c r="J94" s="118"/>
      <c r="L94" s="118"/>
    </row>
    <row r="95" spans="1:12" x14ac:dyDescent="0.25">
      <c r="A95" s="144"/>
      <c r="J95" s="118"/>
      <c r="L95" s="118"/>
    </row>
    <row r="96" spans="1:12" x14ac:dyDescent="0.25">
      <c r="A96" s="144"/>
      <c r="J96" s="118"/>
      <c r="L96" s="118"/>
    </row>
    <row r="97" spans="1:12" x14ac:dyDescent="0.25">
      <c r="A97" s="144"/>
      <c r="J97" s="118"/>
      <c r="L97" s="118"/>
    </row>
    <row r="98" spans="1:12" x14ac:dyDescent="0.25">
      <c r="A98" s="144"/>
      <c r="J98" s="118"/>
      <c r="L98" s="118"/>
    </row>
    <row r="99" spans="1:12" x14ac:dyDescent="0.25">
      <c r="A99" s="144"/>
      <c r="J99" s="118"/>
      <c r="L99" s="118"/>
    </row>
    <row r="100" spans="1:12" x14ac:dyDescent="0.25">
      <c r="A100" s="144"/>
      <c r="J100" s="118"/>
      <c r="L100" s="118"/>
    </row>
    <row r="101" spans="1:12" x14ac:dyDescent="0.25">
      <c r="A101" s="144"/>
      <c r="J101" s="118"/>
      <c r="L101" s="118"/>
    </row>
    <row r="102" spans="1:12" x14ac:dyDescent="0.25">
      <c r="A102" s="144"/>
      <c r="J102" s="118"/>
      <c r="L102" s="118"/>
    </row>
    <row r="103" spans="1:12" x14ac:dyDescent="0.25">
      <c r="A103" s="144"/>
      <c r="J103" s="118"/>
      <c r="L103" s="118"/>
    </row>
    <row r="104" spans="1:12" x14ac:dyDescent="0.25">
      <c r="A104" s="144"/>
      <c r="J104" s="118"/>
      <c r="L104" s="118"/>
    </row>
    <row r="105" spans="1:12" x14ac:dyDescent="0.25">
      <c r="A105" s="144"/>
      <c r="J105" s="118"/>
      <c r="L105" s="118"/>
    </row>
    <row r="106" spans="1:12" x14ac:dyDescent="0.25">
      <c r="A106" s="144"/>
      <c r="J106" s="118"/>
      <c r="L106" s="118"/>
    </row>
    <row r="107" spans="1:12" x14ac:dyDescent="0.25">
      <c r="A107" s="144"/>
      <c r="J107" s="118"/>
      <c r="L107" s="118"/>
    </row>
    <row r="108" spans="1:12" x14ac:dyDescent="0.25">
      <c r="A108" s="144"/>
      <c r="J108" s="118"/>
      <c r="L108" s="118"/>
    </row>
    <row r="109" spans="1:12" x14ac:dyDescent="0.25">
      <c r="A109" s="144"/>
      <c r="J109" s="118"/>
      <c r="L109" s="118"/>
    </row>
    <row r="110" spans="1:12" x14ac:dyDescent="0.25">
      <c r="A110" s="144"/>
      <c r="J110" s="118"/>
      <c r="L110" s="118"/>
    </row>
    <row r="111" spans="1:12" x14ac:dyDescent="0.25">
      <c r="A111" s="144"/>
      <c r="J111" s="118"/>
      <c r="L111" s="118"/>
    </row>
    <row r="112" spans="1:12" x14ac:dyDescent="0.25">
      <c r="A112" s="144"/>
      <c r="J112" s="118"/>
      <c r="L112" s="118"/>
    </row>
    <row r="113" spans="1:12" x14ac:dyDescent="0.25">
      <c r="A113" s="144"/>
      <c r="J113" s="118"/>
      <c r="L113" s="118"/>
    </row>
    <row r="114" spans="1:12" x14ac:dyDescent="0.25">
      <c r="A114" s="144"/>
      <c r="J114" s="118"/>
      <c r="L114" s="118"/>
    </row>
    <row r="115" spans="1:12" x14ac:dyDescent="0.25">
      <c r="A115" s="144"/>
      <c r="J115" s="118"/>
      <c r="L115" s="118"/>
    </row>
    <row r="116" spans="1:12" x14ac:dyDescent="0.25">
      <c r="A116" s="144"/>
      <c r="J116" s="118"/>
      <c r="L116" s="118"/>
    </row>
    <row r="117" spans="1:12" x14ac:dyDescent="0.25">
      <c r="A117" s="144"/>
      <c r="J117" s="118"/>
      <c r="L117" s="118"/>
    </row>
    <row r="118" spans="1:12" x14ac:dyDescent="0.25">
      <c r="A118" s="144"/>
      <c r="J118" s="118"/>
      <c r="L118" s="118"/>
    </row>
    <row r="119" spans="1:12" x14ac:dyDescent="0.25">
      <c r="A119" s="144"/>
      <c r="J119" s="118"/>
      <c r="L119" s="118"/>
    </row>
    <row r="120" spans="1:12" x14ac:dyDescent="0.25">
      <c r="A120" s="144"/>
      <c r="J120" s="118"/>
      <c r="L120" s="118"/>
    </row>
    <row r="121" spans="1:12" x14ac:dyDescent="0.25">
      <c r="A121" s="144"/>
      <c r="J121" s="118"/>
      <c r="L121" s="118"/>
    </row>
    <row r="122" spans="1:12" x14ac:dyDescent="0.25">
      <c r="A122" s="144"/>
      <c r="J122" s="118"/>
      <c r="L122" s="118"/>
    </row>
    <row r="123" spans="1:12" x14ac:dyDescent="0.25">
      <c r="A123" s="144"/>
      <c r="J123" s="118"/>
      <c r="L123" s="118"/>
    </row>
    <row r="124" spans="1:12" x14ac:dyDescent="0.25">
      <c r="A124" s="144"/>
      <c r="J124" s="118"/>
      <c r="L124" s="118"/>
    </row>
    <row r="125" spans="1:12" x14ac:dyDescent="0.25">
      <c r="A125" s="144"/>
      <c r="J125" s="118"/>
      <c r="L125" s="118"/>
    </row>
    <row r="126" spans="1:12" x14ac:dyDescent="0.25">
      <c r="A126" s="144"/>
      <c r="J126" s="118"/>
      <c r="L126" s="118"/>
    </row>
    <row r="127" spans="1:12" x14ac:dyDescent="0.25">
      <c r="A127" s="144"/>
      <c r="J127" s="118"/>
      <c r="L127" s="118"/>
    </row>
    <row r="128" spans="1:12" x14ac:dyDescent="0.25">
      <c r="A128" s="144"/>
      <c r="J128" s="118"/>
      <c r="L128" s="118"/>
    </row>
    <row r="129" spans="1:12" x14ac:dyDescent="0.25">
      <c r="A129" s="144"/>
      <c r="J129" s="118"/>
      <c r="L129" s="118"/>
    </row>
    <row r="130" spans="1:12" x14ac:dyDescent="0.25">
      <c r="A130" s="144"/>
      <c r="J130" s="118"/>
      <c r="L130" s="118"/>
    </row>
    <row r="131" spans="1:12" x14ac:dyDescent="0.25">
      <c r="A131" s="144"/>
      <c r="J131" s="118"/>
      <c r="L131" s="118"/>
    </row>
    <row r="132" spans="1:12" x14ac:dyDescent="0.25">
      <c r="A132" s="144"/>
      <c r="J132" s="118"/>
    </row>
    <row r="133" spans="1:12" x14ac:dyDescent="0.25">
      <c r="A133" s="144"/>
      <c r="J133" s="118"/>
      <c r="L133" s="118"/>
    </row>
    <row r="134" spans="1:12" x14ac:dyDescent="0.25">
      <c r="A134" s="144"/>
      <c r="J134" s="118"/>
      <c r="L134" s="118"/>
    </row>
    <row r="135" spans="1:12" x14ac:dyDescent="0.25">
      <c r="A135" s="144"/>
      <c r="J135" s="118"/>
      <c r="L135" s="118"/>
    </row>
    <row r="136" spans="1:12" x14ac:dyDescent="0.25">
      <c r="A136" s="144"/>
      <c r="J136" s="118"/>
      <c r="L136" s="118"/>
    </row>
    <row r="137" spans="1:12" x14ac:dyDescent="0.25">
      <c r="A137" s="144"/>
      <c r="J137" s="118"/>
      <c r="L137" s="118"/>
    </row>
    <row r="138" spans="1:12" x14ac:dyDescent="0.25">
      <c r="A138" s="144"/>
      <c r="J138" s="118"/>
      <c r="L138" s="118"/>
    </row>
    <row r="139" spans="1:12" x14ac:dyDescent="0.25">
      <c r="A139" s="144"/>
      <c r="J139" s="118"/>
      <c r="L139" s="118"/>
    </row>
    <row r="140" spans="1:12" x14ac:dyDescent="0.25">
      <c r="A140" s="144"/>
      <c r="J140" s="118"/>
      <c r="L140" s="118"/>
    </row>
    <row r="141" spans="1:12" x14ac:dyDescent="0.25">
      <c r="A141" s="144"/>
      <c r="J141" s="118"/>
      <c r="L141" s="118"/>
    </row>
    <row r="142" spans="1:12" x14ac:dyDescent="0.25">
      <c r="A142" s="144"/>
      <c r="J142" s="118"/>
      <c r="L142" s="118"/>
    </row>
    <row r="143" spans="1:12" x14ac:dyDescent="0.25">
      <c r="A143" s="144"/>
      <c r="J143" s="118"/>
      <c r="L143" s="118"/>
    </row>
    <row r="144" spans="1:12" x14ac:dyDescent="0.25">
      <c r="A144" s="144"/>
      <c r="J144" s="118"/>
      <c r="L144" s="118"/>
    </row>
    <row r="145" spans="1:12" x14ac:dyDescent="0.25">
      <c r="A145" s="144"/>
      <c r="J145" s="118"/>
      <c r="L145" s="118"/>
    </row>
    <row r="146" spans="1:12" x14ac:dyDescent="0.25">
      <c r="A146" s="144"/>
      <c r="J146" s="118"/>
      <c r="L146" s="118"/>
    </row>
    <row r="147" spans="1:12" x14ac:dyDescent="0.25">
      <c r="A147" s="144"/>
      <c r="J147" s="118"/>
      <c r="L147" s="118"/>
    </row>
    <row r="148" spans="1:12" x14ac:dyDescent="0.25">
      <c r="A148" s="144"/>
      <c r="J148" s="118"/>
      <c r="L148" s="118"/>
    </row>
    <row r="149" spans="1:12" x14ac:dyDescent="0.25">
      <c r="A149" s="144"/>
      <c r="J149" s="118"/>
      <c r="L149" s="118"/>
    </row>
    <row r="150" spans="1:12" x14ac:dyDescent="0.25">
      <c r="A150" s="144"/>
      <c r="J150" s="118"/>
      <c r="L150" s="118"/>
    </row>
    <row r="151" spans="1:12" x14ac:dyDescent="0.25">
      <c r="A151" s="144"/>
      <c r="J151" s="118"/>
      <c r="L151" s="118"/>
    </row>
    <row r="152" spans="1:12" x14ac:dyDescent="0.25">
      <c r="A152" s="144"/>
      <c r="J152" s="118"/>
      <c r="L152" s="118"/>
    </row>
    <row r="153" spans="1:12" x14ac:dyDescent="0.25">
      <c r="A153" s="144"/>
      <c r="J153" s="118"/>
      <c r="L153" s="118"/>
    </row>
    <row r="154" spans="1:12" x14ac:dyDescent="0.25">
      <c r="A154" s="144"/>
      <c r="J154" s="118"/>
      <c r="L154" s="118"/>
    </row>
    <row r="155" spans="1:12" x14ac:dyDescent="0.25">
      <c r="A155" s="144"/>
      <c r="J155" s="118"/>
      <c r="L155" s="118"/>
    </row>
    <row r="156" spans="1:12" x14ac:dyDescent="0.25">
      <c r="A156" s="144"/>
      <c r="J156" s="118"/>
      <c r="L156" s="118"/>
    </row>
    <row r="157" spans="1:12" x14ac:dyDescent="0.25">
      <c r="A157" s="144"/>
      <c r="J157" s="118"/>
      <c r="L157" s="118"/>
    </row>
    <row r="158" spans="1:12" x14ac:dyDescent="0.25">
      <c r="A158" s="144"/>
      <c r="J158" s="118"/>
      <c r="L158" s="118"/>
    </row>
    <row r="159" spans="1:12" x14ac:dyDescent="0.25">
      <c r="A159" s="144"/>
      <c r="J159" s="118"/>
    </row>
    <row r="160" spans="1:12" x14ac:dyDescent="0.25">
      <c r="A160" s="144"/>
      <c r="J160" s="118"/>
      <c r="L160" s="118"/>
    </row>
    <row r="161" spans="1:12" x14ac:dyDescent="0.25">
      <c r="A161" s="144"/>
      <c r="J161" s="118"/>
      <c r="L161" s="118"/>
    </row>
    <row r="162" spans="1:12" x14ac:dyDescent="0.25">
      <c r="A162" s="144"/>
      <c r="J162" s="118"/>
      <c r="L162" s="118"/>
    </row>
    <row r="163" spans="1:12" x14ac:dyDescent="0.25">
      <c r="A163" s="144"/>
      <c r="J163" s="118"/>
      <c r="L163" s="118"/>
    </row>
    <row r="164" spans="1:12" x14ac:dyDescent="0.25">
      <c r="A164" s="144"/>
      <c r="J164" s="118"/>
      <c r="L164" s="118"/>
    </row>
    <row r="165" spans="1:12" x14ac:dyDescent="0.25">
      <c r="A165" s="144"/>
      <c r="J165" s="118"/>
      <c r="L165" s="118"/>
    </row>
    <row r="166" spans="1:12" x14ac:dyDescent="0.25">
      <c r="A166" s="144"/>
      <c r="J166" s="118"/>
      <c r="L166" s="118"/>
    </row>
    <row r="167" spans="1:12" x14ac:dyDescent="0.25">
      <c r="A167" s="144"/>
      <c r="J167" s="118"/>
      <c r="L167" s="118"/>
    </row>
    <row r="168" spans="1:12" x14ac:dyDescent="0.25">
      <c r="A168" s="144"/>
      <c r="J168" s="118"/>
      <c r="L168" s="118"/>
    </row>
    <row r="169" spans="1:12" x14ac:dyDescent="0.25">
      <c r="A169" s="144"/>
      <c r="J169" s="118"/>
    </row>
    <row r="170" spans="1:12" x14ac:dyDescent="0.25">
      <c r="A170" s="144"/>
      <c r="J170" s="118"/>
      <c r="L170" s="118"/>
    </row>
    <row r="171" spans="1:12" x14ac:dyDescent="0.25">
      <c r="A171" s="144"/>
      <c r="J171" s="118"/>
      <c r="L171" s="118"/>
    </row>
    <row r="172" spans="1:12" x14ac:dyDescent="0.25">
      <c r="A172" s="144"/>
      <c r="J172" s="118"/>
      <c r="L172" s="118"/>
    </row>
    <row r="173" spans="1:12" x14ac:dyDescent="0.25">
      <c r="A173" s="144"/>
      <c r="J173" s="118"/>
      <c r="L173" s="118"/>
    </row>
    <row r="174" spans="1:12" x14ac:dyDescent="0.25">
      <c r="A174" s="144"/>
      <c r="J174" s="118"/>
      <c r="L174" s="118"/>
    </row>
    <row r="175" spans="1:12" x14ac:dyDescent="0.25">
      <c r="A175" s="144"/>
      <c r="J175" s="118"/>
      <c r="L175" s="118"/>
    </row>
    <row r="176" spans="1:12" x14ac:dyDescent="0.25">
      <c r="A176" s="144"/>
      <c r="J176" s="118"/>
      <c r="L176" s="118"/>
    </row>
    <row r="177" spans="1:12" x14ac:dyDescent="0.25">
      <c r="A177" s="144"/>
      <c r="J177" s="118"/>
      <c r="L177" s="118"/>
    </row>
    <row r="178" spans="1:12" x14ac:dyDescent="0.25">
      <c r="A178" s="144"/>
      <c r="J178" s="118"/>
      <c r="L178" s="118"/>
    </row>
    <row r="179" spans="1:12" x14ac:dyDescent="0.25">
      <c r="A179" s="144"/>
      <c r="J179" s="118"/>
      <c r="L179" s="118"/>
    </row>
    <row r="180" spans="1:12" x14ac:dyDescent="0.25">
      <c r="A180" s="144"/>
      <c r="J180" s="118"/>
      <c r="L180" s="118"/>
    </row>
    <row r="181" spans="1:12" x14ac:dyDescent="0.25">
      <c r="A181" s="144"/>
      <c r="J181" s="118"/>
      <c r="L181" s="118"/>
    </row>
    <row r="182" spans="1:12" x14ac:dyDescent="0.25">
      <c r="A182" s="144"/>
      <c r="J182" s="118"/>
      <c r="L182" s="118"/>
    </row>
    <row r="183" spans="1:12" x14ac:dyDescent="0.25">
      <c r="A183" s="144"/>
      <c r="J183" s="118"/>
      <c r="L183" s="118"/>
    </row>
    <row r="184" spans="1:12" x14ac:dyDescent="0.25">
      <c r="A184" s="144"/>
      <c r="J184" s="118"/>
      <c r="L184" s="118"/>
    </row>
    <row r="185" spans="1:12" x14ac:dyDescent="0.25">
      <c r="A185" s="144"/>
      <c r="J185" s="118"/>
      <c r="L185" s="118"/>
    </row>
    <row r="186" spans="1:12" x14ac:dyDescent="0.25">
      <c r="A186" s="144"/>
      <c r="J186" s="118"/>
      <c r="L186" s="118"/>
    </row>
    <row r="187" spans="1:12" x14ac:dyDescent="0.25">
      <c r="A187" s="144"/>
      <c r="J187" s="118"/>
      <c r="L187" s="118"/>
    </row>
    <row r="188" spans="1:12" x14ac:dyDescent="0.25">
      <c r="A188" s="144"/>
      <c r="J188" s="118"/>
      <c r="L188" s="118"/>
    </row>
    <row r="189" spans="1:12" x14ac:dyDescent="0.25">
      <c r="A189" s="144"/>
      <c r="J189" s="118"/>
      <c r="L189" s="118"/>
    </row>
    <row r="190" spans="1:12" x14ac:dyDescent="0.25">
      <c r="A190" s="144"/>
      <c r="J190" s="118"/>
      <c r="L190" s="118"/>
    </row>
    <row r="191" spans="1:12" x14ac:dyDescent="0.25">
      <c r="A191" s="144"/>
      <c r="J191" s="118"/>
      <c r="L191" s="118"/>
    </row>
    <row r="192" spans="1:12" x14ac:dyDescent="0.25">
      <c r="A192" s="144"/>
      <c r="J192" s="118"/>
      <c r="L192" s="118"/>
    </row>
    <row r="193" spans="1:12" x14ac:dyDescent="0.25">
      <c r="A193" s="144"/>
      <c r="J193" s="118"/>
      <c r="L193" s="118"/>
    </row>
    <row r="194" spans="1:12" x14ac:dyDescent="0.25">
      <c r="A194" s="144"/>
      <c r="J194" s="118"/>
      <c r="L194" s="118"/>
    </row>
    <row r="195" spans="1:12" x14ac:dyDescent="0.25">
      <c r="A195" s="144"/>
      <c r="J195" s="118"/>
      <c r="L195" s="118"/>
    </row>
    <row r="196" spans="1:12" x14ac:dyDescent="0.25">
      <c r="A196" s="144"/>
      <c r="J196" s="118"/>
      <c r="L196" s="118"/>
    </row>
    <row r="197" spans="1:12" x14ac:dyDescent="0.25">
      <c r="A197" s="144"/>
      <c r="J197" s="118"/>
      <c r="L197" s="118"/>
    </row>
    <row r="198" spans="1:12" x14ac:dyDescent="0.25">
      <c r="A198" s="144"/>
      <c r="J198" s="118"/>
      <c r="L198" s="118"/>
    </row>
    <row r="199" spans="1:12" x14ac:dyDescent="0.25">
      <c r="A199" s="144"/>
      <c r="J199" s="118"/>
      <c r="L199" s="118"/>
    </row>
    <row r="200" spans="1:12" x14ac:dyDescent="0.25">
      <c r="A200" s="144"/>
      <c r="J200" s="118"/>
      <c r="L200" s="118"/>
    </row>
    <row r="201" spans="1:12" x14ac:dyDescent="0.25">
      <c r="A201" s="144"/>
      <c r="J201" s="118"/>
      <c r="L201" s="118"/>
    </row>
    <row r="202" spans="1:12" x14ac:dyDescent="0.25">
      <c r="A202" s="144"/>
      <c r="J202" s="118"/>
      <c r="L202" s="118"/>
    </row>
    <row r="203" spans="1:12" x14ac:dyDescent="0.25">
      <c r="A203" s="144"/>
      <c r="J203" s="118"/>
      <c r="L203" s="118"/>
    </row>
    <row r="204" spans="1:12" x14ac:dyDescent="0.25">
      <c r="A204" s="144"/>
      <c r="J204" s="118"/>
      <c r="L204" s="118"/>
    </row>
    <row r="205" spans="1:12" x14ac:dyDescent="0.25">
      <c r="A205" s="144"/>
      <c r="J205" s="118"/>
      <c r="L205" s="118"/>
    </row>
    <row r="206" spans="1:12" x14ac:dyDescent="0.25">
      <c r="A206" s="144"/>
      <c r="J206" s="118"/>
      <c r="L206" s="118"/>
    </row>
    <row r="207" spans="1:12" x14ac:dyDescent="0.25">
      <c r="A207" s="144"/>
      <c r="J207" s="118"/>
      <c r="L207" s="118"/>
    </row>
    <row r="208" spans="1:12" x14ac:dyDescent="0.25">
      <c r="A208" s="144"/>
      <c r="J208" s="118"/>
      <c r="L208" s="118"/>
    </row>
    <row r="209" spans="1:12" x14ac:dyDescent="0.25">
      <c r="A209" s="144"/>
      <c r="J209" s="118"/>
      <c r="L209" s="118"/>
    </row>
    <row r="210" spans="1:12" x14ac:dyDescent="0.25">
      <c r="A210" s="144"/>
      <c r="J210" s="118"/>
      <c r="L210" s="118"/>
    </row>
    <row r="211" spans="1:12" x14ac:dyDescent="0.25">
      <c r="A211" s="144"/>
      <c r="J211" s="118"/>
      <c r="L211" s="118"/>
    </row>
    <row r="212" spans="1:12" x14ac:dyDescent="0.25">
      <c r="A212" s="144"/>
      <c r="J212" s="118"/>
      <c r="L212" s="118"/>
    </row>
    <row r="213" spans="1:12" x14ac:dyDescent="0.25">
      <c r="A213" s="144"/>
      <c r="J213" s="118"/>
      <c r="L213" s="118"/>
    </row>
    <row r="214" spans="1:12" x14ac:dyDescent="0.25">
      <c r="A214" s="144"/>
      <c r="J214" s="118"/>
      <c r="L214" s="118"/>
    </row>
    <row r="215" spans="1:12" x14ac:dyDescent="0.25">
      <c r="A215" s="144"/>
      <c r="J215" s="118"/>
      <c r="L215" s="118"/>
    </row>
    <row r="216" spans="1:12" x14ac:dyDescent="0.25">
      <c r="A216" s="144"/>
      <c r="J216" s="118"/>
    </row>
    <row r="217" spans="1:12" x14ac:dyDescent="0.25">
      <c r="A217" s="144"/>
      <c r="J217" s="118"/>
    </row>
    <row r="218" spans="1:12" x14ac:dyDescent="0.25">
      <c r="A218" s="144"/>
      <c r="J218" s="118"/>
    </row>
    <row r="219" spans="1:12" x14ac:dyDescent="0.25">
      <c r="A219" s="144"/>
      <c r="J219" s="118"/>
    </row>
    <row r="220" spans="1:12" x14ac:dyDescent="0.25">
      <c r="A220" s="144"/>
      <c r="J220" s="141"/>
    </row>
    <row r="221" spans="1:12" x14ac:dyDescent="0.25">
      <c r="A221" s="144"/>
      <c r="J221" s="141"/>
    </row>
    <row r="222" spans="1:12" x14ac:dyDescent="0.25">
      <c r="A222" s="144"/>
      <c r="J222" s="141"/>
    </row>
    <row r="223" spans="1:12" x14ac:dyDescent="0.25">
      <c r="A223" s="144"/>
      <c r="J223" s="141"/>
    </row>
    <row r="224" spans="1:12" x14ac:dyDescent="0.25">
      <c r="A224" s="144"/>
      <c r="J224" s="141"/>
    </row>
    <row r="225" spans="1:10" x14ac:dyDescent="0.25">
      <c r="A225" s="144"/>
      <c r="J225" s="141"/>
    </row>
    <row r="226" spans="1:10" x14ac:dyDescent="0.25">
      <c r="A226" s="144"/>
      <c r="J226" s="141"/>
    </row>
    <row r="227" spans="1:10" x14ac:dyDescent="0.25">
      <c r="A227" s="144"/>
      <c r="J227" s="141"/>
    </row>
    <row r="228" spans="1:10" x14ac:dyDescent="0.25">
      <c r="A228" s="144"/>
      <c r="J228" s="141"/>
    </row>
    <row r="229" spans="1:10" x14ac:dyDescent="0.25">
      <c r="A229" s="144"/>
      <c r="J229" s="141"/>
    </row>
    <row r="230" spans="1:10" x14ac:dyDescent="0.25">
      <c r="A230" s="144"/>
      <c r="J230" s="141"/>
    </row>
    <row r="231" spans="1:10" x14ac:dyDescent="0.25">
      <c r="A231" s="144"/>
      <c r="J231" s="141"/>
    </row>
    <row r="232" spans="1:10" x14ac:dyDescent="0.25">
      <c r="A232" s="144"/>
      <c r="J232" s="141"/>
    </row>
    <row r="233" spans="1:10" x14ac:dyDescent="0.25">
      <c r="A233" s="144"/>
      <c r="J233" s="141"/>
    </row>
    <row r="234" spans="1:10" x14ac:dyDescent="0.25">
      <c r="A234" s="144"/>
      <c r="J234" s="141"/>
    </row>
    <row r="235" spans="1:10" x14ac:dyDescent="0.25">
      <c r="A235" s="144"/>
      <c r="J235" s="141"/>
    </row>
    <row r="236" spans="1:10" x14ac:dyDescent="0.25">
      <c r="A236" s="144"/>
      <c r="J236" s="141"/>
    </row>
    <row r="237" spans="1:10" x14ac:dyDescent="0.25">
      <c r="A237" s="144"/>
      <c r="J237" s="141"/>
    </row>
    <row r="238" spans="1:10" x14ac:dyDescent="0.25">
      <c r="A238" s="144"/>
      <c r="J238" s="141"/>
    </row>
    <row r="239" spans="1:10" x14ac:dyDescent="0.25">
      <c r="A239" s="144"/>
      <c r="J239" s="141"/>
    </row>
    <row r="240" spans="1:10" x14ac:dyDescent="0.25">
      <c r="A240" s="144"/>
      <c r="J240" s="141"/>
    </row>
    <row r="241" spans="1:10" x14ac:dyDescent="0.25">
      <c r="A241" s="144"/>
      <c r="J241" s="141"/>
    </row>
    <row r="242" spans="1:10" x14ac:dyDescent="0.25">
      <c r="A242" s="144"/>
      <c r="J242" s="141"/>
    </row>
    <row r="243" spans="1:10" x14ac:dyDescent="0.25">
      <c r="A243" s="144"/>
      <c r="J243" s="141"/>
    </row>
    <row r="244" spans="1:10" x14ac:dyDescent="0.25">
      <c r="A244" s="144"/>
      <c r="J244" s="141"/>
    </row>
    <row r="245" spans="1:10" x14ac:dyDescent="0.25">
      <c r="A245" s="144"/>
      <c r="J245" s="141"/>
    </row>
    <row r="246" spans="1:10" x14ac:dyDescent="0.25">
      <c r="A246" s="144"/>
      <c r="J246" s="141"/>
    </row>
    <row r="247" spans="1:10" x14ac:dyDescent="0.25">
      <c r="A247" s="144"/>
      <c r="J247" s="141"/>
    </row>
    <row r="248" spans="1:10" x14ac:dyDescent="0.25">
      <c r="A248" s="144"/>
      <c r="J248" s="141"/>
    </row>
    <row r="249" spans="1:10" x14ac:dyDescent="0.25">
      <c r="A249" s="144"/>
      <c r="J249" s="141"/>
    </row>
    <row r="250" spans="1:10" x14ac:dyDescent="0.25">
      <c r="A250" s="144"/>
      <c r="J250" s="141"/>
    </row>
    <row r="251" spans="1:10" x14ac:dyDescent="0.25">
      <c r="A251" s="144"/>
      <c r="J251" s="141"/>
    </row>
    <row r="252" spans="1:10" x14ac:dyDescent="0.25">
      <c r="A252" s="144"/>
      <c r="J252" s="141"/>
    </row>
    <row r="253" spans="1:10" x14ac:dyDescent="0.25">
      <c r="A253" s="144"/>
      <c r="J253" s="141"/>
    </row>
    <row r="254" spans="1:10" x14ac:dyDescent="0.25">
      <c r="A254" s="144"/>
    </row>
  </sheetData>
  <phoneticPr fontId="18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H243"/>
  <sheetViews>
    <sheetView zoomScale="110" zoomScaleNormal="110" workbookViewId="0"/>
  </sheetViews>
  <sheetFormatPr defaultRowHeight="12.5" x14ac:dyDescent="0.25"/>
  <cols>
    <col min="1" max="1" width="10.54296875" customWidth="1"/>
    <col min="2" max="5" width="8.7265625" style="154" customWidth="1"/>
    <col min="6" max="11" width="10.54296875" customWidth="1"/>
  </cols>
  <sheetData>
    <row r="1" spans="1:8" x14ac:dyDescent="0.25">
      <c r="A1" s="154" t="s">
        <v>233</v>
      </c>
      <c r="B1" s="162" t="s">
        <v>234</v>
      </c>
      <c r="C1" s="162" t="s">
        <v>235</v>
      </c>
      <c r="D1" s="162" t="s">
        <v>171</v>
      </c>
      <c r="E1" s="162"/>
      <c r="F1" s="129"/>
      <c r="H1" s="13"/>
    </row>
    <row r="2" spans="1:8" x14ac:dyDescent="0.25">
      <c r="F2" s="139"/>
      <c r="H2" s="13"/>
    </row>
    <row r="3" spans="1:8" x14ac:dyDescent="0.25">
      <c r="B3" s="154" t="s">
        <v>170</v>
      </c>
      <c r="C3" s="154" t="s">
        <v>170</v>
      </c>
      <c r="D3" s="154" t="s">
        <v>170</v>
      </c>
      <c r="F3" s="121"/>
      <c r="H3" s="13"/>
    </row>
    <row r="4" spans="1:8" x14ac:dyDescent="0.25">
      <c r="A4" s="160">
        <v>43757</v>
      </c>
      <c r="B4" s="154">
        <v>5.9445980999999994</v>
      </c>
      <c r="C4" s="154">
        <v>5.0762598829999996</v>
      </c>
      <c r="D4" s="154">
        <v>1.5558396800000001</v>
      </c>
      <c r="F4" s="121"/>
    </row>
    <row r="5" spans="1:8" x14ac:dyDescent="0.25">
      <c r="A5" s="160">
        <v>43788</v>
      </c>
      <c r="B5" s="154">
        <v>7.0052910999999991</v>
      </c>
      <c r="C5" s="154">
        <v>4.9473593170000001</v>
      </c>
      <c r="D5" s="154">
        <v>1.4144035019999999</v>
      </c>
      <c r="F5" s="121"/>
    </row>
    <row r="6" spans="1:8" x14ac:dyDescent="0.25">
      <c r="A6" s="160">
        <v>43818</v>
      </c>
      <c r="B6" s="154">
        <v>5.5702881</v>
      </c>
      <c r="C6" s="154">
        <v>3.2696367909999999</v>
      </c>
      <c r="D6" s="154">
        <v>0.41410007399999998</v>
      </c>
      <c r="F6" s="121"/>
    </row>
    <row r="7" spans="1:8" x14ac:dyDescent="0.25">
      <c r="A7" s="160">
        <v>43849</v>
      </c>
      <c r="B7" s="154">
        <v>5.3192076999999998</v>
      </c>
      <c r="C7" s="154">
        <v>1.3970485420000001</v>
      </c>
      <c r="D7" s="154">
        <v>0.157365851</v>
      </c>
      <c r="F7" s="121"/>
    </row>
    <row r="8" spans="1:8" x14ac:dyDescent="0.25">
      <c r="A8" s="160">
        <v>43880</v>
      </c>
      <c r="B8" s="154">
        <v>2.758858</v>
      </c>
      <c r="C8" s="154">
        <v>4.8339818459999995</v>
      </c>
      <c r="D8" s="154">
        <v>2.1359514E-2</v>
      </c>
      <c r="F8" s="121"/>
    </row>
    <row r="9" spans="1:8" x14ac:dyDescent="0.25">
      <c r="A9" s="160">
        <v>43909</v>
      </c>
      <c r="B9" s="154">
        <v>2.5708519000000001</v>
      </c>
      <c r="C9" s="154">
        <v>10.855230046000001</v>
      </c>
      <c r="D9" s="154">
        <v>1.5682897000000001E-2</v>
      </c>
      <c r="F9" s="121"/>
    </row>
    <row r="10" spans="1:8" x14ac:dyDescent="0.25">
      <c r="A10" s="160">
        <v>43940</v>
      </c>
      <c r="B10" s="154">
        <v>2.1631142999999997</v>
      </c>
      <c r="C10" s="154">
        <v>14.859774224000001</v>
      </c>
      <c r="D10" s="154">
        <v>0.69850406499999995</v>
      </c>
      <c r="F10" s="121"/>
    </row>
    <row r="11" spans="1:8" x14ac:dyDescent="0.25">
      <c r="A11" s="160">
        <v>43970</v>
      </c>
      <c r="B11" s="154">
        <v>1.9654041000000002</v>
      </c>
      <c r="C11" s="154">
        <v>14.099887178000001</v>
      </c>
      <c r="D11" s="154">
        <v>2.173431248</v>
      </c>
      <c r="F11" s="121"/>
    </row>
    <row r="12" spans="1:8" x14ac:dyDescent="0.25">
      <c r="A12" s="160">
        <v>44001</v>
      </c>
      <c r="B12" s="154">
        <v>1.7991959</v>
      </c>
      <c r="C12" s="154">
        <v>12.741608437</v>
      </c>
      <c r="D12" s="154">
        <v>1.328751249</v>
      </c>
      <c r="F12" s="121"/>
    </row>
    <row r="13" spans="1:8" x14ac:dyDescent="0.25">
      <c r="A13" s="160">
        <v>44031</v>
      </c>
      <c r="B13" s="154">
        <v>2.2161911000000001</v>
      </c>
      <c r="C13" s="154">
        <v>9.9550679909999999</v>
      </c>
      <c r="D13" s="154">
        <v>1.061361335</v>
      </c>
      <c r="F13" s="121"/>
    </row>
    <row r="14" spans="1:8" x14ac:dyDescent="0.25">
      <c r="A14" s="160">
        <v>44062</v>
      </c>
      <c r="B14" s="154">
        <v>4.5507600999999998</v>
      </c>
      <c r="C14" s="154">
        <v>5.8366215019999999</v>
      </c>
      <c r="D14" s="154">
        <v>0.98710016099999998</v>
      </c>
      <c r="F14" s="121"/>
    </row>
    <row r="15" spans="1:8" x14ac:dyDescent="0.25">
      <c r="A15" s="160">
        <v>44093</v>
      </c>
      <c r="B15" s="154">
        <v>7.7802423999999997</v>
      </c>
      <c r="C15" s="154">
        <v>4.2609221020000003</v>
      </c>
      <c r="D15" s="154">
        <v>0.14502631999999999</v>
      </c>
      <c r="F15" s="121"/>
    </row>
    <row r="16" spans="1:8" x14ac:dyDescent="0.25">
      <c r="A16" s="160">
        <v>44123</v>
      </c>
      <c r="B16" s="154">
        <v>11.572875400000001</v>
      </c>
      <c r="C16" s="154">
        <v>2.4262227840000001</v>
      </c>
      <c r="D16" s="154">
        <v>0.16519608299999999</v>
      </c>
    </row>
    <row r="17" spans="1:4" x14ac:dyDescent="0.25">
      <c r="A17" s="160">
        <v>44154</v>
      </c>
      <c r="B17" s="154">
        <v>11.0964516</v>
      </c>
      <c r="C17" s="154">
        <v>1.435661488</v>
      </c>
      <c r="D17" s="154">
        <v>1.9397813999999999E-2</v>
      </c>
    </row>
    <row r="18" spans="1:4" x14ac:dyDescent="0.25">
      <c r="A18" s="160">
        <v>44184</v>
      </c>
      <c r="B18" s="154">
        <v>10.8176915</v>
      </c>
      <c r="C18" s="154">
        <v>0.27408258299999999</v>
      </c>
      <c r="D18" s="154">
        <v>1.3115224E-2</v>
      </c>
    </row>
    <row r="19" spans="1:4" x14ac:dyDescent="0.25">
      <c r="A19" s="160">
        <v>44215</v>
      </c>
      <c r="B19" s="154">
        <v>8.1302900000000005</v>
      </c>
      <c r="C19" s="154">
        <v>4.9498928999999997E-2</v>
      </c>
      <c r="D19" s="154">
        <v>0</v>
      </c>
    </row>
    <row r="20" spans="1:4" x14ac:dyDescent="0.25">
      <c r="A20" s="160"/>
    </row>
    <row r="21" spans="1:4" x14ac:dyDescent="0.25">
      <c r="A21" s="160"/>
      <c r="B21" s="154">
        <f>B4/1000</f>
        <v>5.9445980999999993E-3</v>
      </c>
      <c r="C21" s="154">
        <f t="shared" ref="C21:D21" si="0">C4/1000</f>
        <v>5.076259883E-3</v>
      </c>
      <c r="D21" s="154">
        <f t="shared" si="0"/>
        <v>1.5558396800000002E-3</v>
      </c>
    </row>
    <row r="22" spans="1:4" x14ac:dyDescent="0.25">
      <c r="A22" s="160"/>
      <c r="B22" s="154">
        <f t="shared" ref="B22:D22" si="1">B5/1000</f>
        <v>7.005291099999999E-3</v>
      </c>
      <c r="C22" s="154">
        <f t="shared" si="1"/>
        <v>4.9473593170000002E-3</v>
      </c>
      <c r="D22" s="154">
        <f t="shared" si="1"/>
        <v>1.4144035019999998E-3</v>
      </c>
    </row>
    <row r="23" spans="1:4" x14ac:dyDescent="0.25">
      <c r="A23" s="160"/>
      <c r="B23" s="154">
        <f t="shared" ref="B23:D23" si="2">B6/1000</f>
        <v>5.5702881000000001E-3</v>
      </c>
      <c r="C23" s="154">
        <f t="shared" si="2"/>
        <v>3.2696367910000001E-3</v>
      </c>
      <c r="D23" s="154">
        <f t="shared" si="2"/>
        <v>4.1410007399999996E-4</v>
      </c>
    </row>
    <row r="24" spans="1:4" x14ac:dyDescent="0.25">
      <c r="A24" s="160"/>
      <c r="B24" s="154">
        <f t="shared" ref="B24:D24" si="3">B7/1000</f>
        <v>5.3192077000000001E-3</v>
      </c>
      <c r="C24" s="154">
        <f t="shared" si="3"/>
        <v>1.3970485420000001E-3</v>
      </c>
      <c r="D24" s="154">
        <f t="shared" si="3"/>
        <v>1.5736585100000001E-4</v>
      </c>
    </row>
    <row r="25" spans="1:4" x14ac:dyDescent="0.25">
      <c r="A25" s="160"/>
      <c r="B25" s="154">
        <f t="shared" ref="B25:D25" si="4">B8/1000</f>
        <v>2.7588579999999999E-3</v>
      </c>
      <c r="C25" s="154">
        <f t="shared" si="4"/>
        <v>4.8339818459999994E-3</v>
      </c>
      <c r="D25" s="154">
        <f t="shared" si="4"/>
        <v>2.1359513999999999E-5</v>
      </c>
    </row>
    <row r="26" spans="1:4" x14ac:dyDescent="0.25">
      <c r="A26" s="160"/>
      <c r="B26" s="154">
        <f t="shared" ref="B26:D26" si="5">B9/1000</f>
        <v>2.5708519000000002E-3</v>
      </c>
      <c r="C26" s="154">
        <f t="shared" si="5"/>
        <v>1.0855230046000001E-2</v>
      </c>
      <c r="D26" s="154">
        <f t="shared" si="5"/>
        <v>1.5682897E-5</v>
      </c>
    </row>
    <row r="27" spans="1:4" x14ac:dyDescent="0.25">
      <c r="A27" s="160"/>
      <c r="B27" s="154">
        <f t="shared" ref="B27:D27" si="6">B10/1000</f>
        <v>2.1631142999999995E-3</v>
      </c>
      <c r="C27" s="154">
        <f t="shared" si="6"/>
        <v>1.4859774224E-2</v>
      </c>
      <c r="D27" s="154">
        <f t="shared" si="6"/>
        <v>6.9850406499999992E-4</v>
      </c>
    </row>
    <row r="28" spans="1:4" x14ac:dyDescent="0.25">
      <c r="A28" s="160"/>
      <c r="B28" s="154">
        <f t="shared" ref="B28:D28" si="7">B11/1000</f>
        <v>1.9654041000000001E-3</v>
      </c>
      <c r="C28" s="154">
        <f t="shared" si="7"/>
        <v>1.4099887178000002E-2</v>
      </c>
      <c r="D28" s="154">
        <f t="shared" si="7"/>
        <v>2.1734312479999999E-3</v>
      </c>
    </row>
    <row r="29" spans="1:4" x14ac:dyDescent="0.25">
      <c r="A29" s="160"/>
      <c r="B29" s="154">
        <f t="shared" ref="B29:D29" si="8">B12/1000</f>
        <v>1.7991959000000001E-3</v>
      </c>
      <c r="C29" s="154">
        <f t="shared" si="8"/>
        <v>1.2741608437E-2</v>
      </c>
      <c r="D29" s="154">
        <f t="shared" si="8"/>
        <v>1.3287512490000001E-3</v>
      </c>
    </row>
    <row r="30" spans="1:4" x14ac:dyDescent="0.25">
      <c r="A30" s="160"/>
      <c r="B30" s="154">
        <f t="shared" ref="B30:D30" si="9">B13/1000</f>
        <v>2.2161911000000002E-3</v>
      </c>
      <c r="C30" s="154">
        <f t="shared" si="9"/>
        <v>9.9550679910000005E-3</v>
      </c>
      <c r="D30" s="154">
        <f t="shared" si="9"/>
        <v>1.061361335E-3</v>
      </c>
    </row>
    <row r="31" spans="1:4" x14ac:dyDescent="0.25">
      <c r="A31" s="160"/>
      <c r="B31" s="154">
        <f t="shared" ref="B31:D31" si="10">B14/1000</f>
        <v>4.5507600999999996E-3</v>
      </c>
      <c r="C31" s="154">
        <f t="shared" si="10"/>
        <v>5.8366215019999999E-3</v>
      </c>
      <c r="D31" s="154">
        <f t="shared" si="10"/>
        <v>9.8710016099999988E-4</v>
      </c>
    </row>
    <row r="32" spans="1:4" x14ac:dyDescent="0.25">
      <c r="A32" s="160"/>
      <c r="B32" s="154">
        <f t="shared" ref="B32:D32" si="11">B15/1000</f>
        <v>7.7802423999999998E-3</v>
      </c>
      <c r="C32" s="154">
        <f t="shared" si="11"/>
        <v>4.2609221019999999E-3</v>
      </c>
      <c r="D32" s="154">
        <f t="shared" si="11"/>
        <v>1.4502632E-4</v>
      </c>
    </row>
    <row r="33" spans="1:4" x14ac:dyDescent="0.25">
      <c r="A33" s="160"/>
      <c r="B33" s="154">
        <f t="shared" ref="B33:D33" si="12">B16/1000</f>
        <v>1.1572875400000002E-2</v>
      </c>
      <c r="C33" s="154">
        <f t="shared" si="12"/>
        <v>2.4262227839999999E-3</v>
      </c>
      <c r="D33" s="154">
        <f t="shared" si="12"/>
        <v>1.6519608299999999E-4</v>
      </c>
    </row>
    <row r="34" spans="1:4" x14ac:dyDescent="0.25">
      <c r="A34" s="160"/>
      <c r="B34" s="154">
        <f t="shared" ref="B34:D34" si="13">B17/1000</f>
        <v>1.10964516E-2</v>
      </c>
      <c r="C34" s="154">
        <f t="shared" si="13"/>
        <v>1.435661488E-3</v>
      </c>
      <c r="D34" s="154">
        <f t="shared" si="13"/>
        <v>1.9397814000000001E-5</v>
      </c>
    </row>
    <row r="35" spans="1:4" x14ac:dyDescent="0.25">
      <c r="A35" s="160"/>
      <c r="B35" s="154">
        <f>B18/1000</f>
        <v>1.0817691500000001E-2</v>
      </c>
      <c r="C35" s="154">
        <f t="shared" ref="C35:D35" si="14">C18/1000</f>
        <v>2.7408258299999998E-4</v>
      </c>
      <c r="D35" s="154">
        <f t="shared" si="14"/>
        <v>1.3115224E-5</v>
      </c>
    </row>
    <row r="36" spans="1:4" x14ac:dyDescent="0.25">
      <c r="A36" s="160"/>
      <c r="B36" s="154">
        <f t="shared" ref="B36:D36" si="15">B19/1000</f>
        <v>8.1302900000000001E-3</v>
      </c>
      <c r="C36" s="154">
        <f t="shared" si="15"/>
        <v>4.9498928999999994E-5</v>
      </c>
      <c r="D36" s="154">
        <f t="shared" si="15"/>
        <v>0</v>
      </c>
    </row>
    <row r="37" spans="1:4" x14ac:dyDescent="0.25">
      <c r="A37" s="160"/>
    </row>
    <row r="38" spans="1:4" x14ac:dyDescent="0.25">
      <c r="A38" s="160"/>
    </row>
    <row r="39" spans="1:4" x14ac:dyDescent="0.25">
      <c r="A39" s="160"/>
    </row>
    <row r="40" spans="1:4" x14ac:dyDescent="0.25">
      <c r="A40" s="160"/>
    </row>
    <row r="41" spans="1:4" x14ac:dyDescent="0.25">
      <c r="A41" s="160"/>
    </row>
    <row r="42" spans="1:4" x14ac:dyDescent="0.25">
      <c r="A42" s="160"/>
    </row>
    <row r="43" spans="1:4" x14ac:dyDescent="0.25">
      <c r="A43" s="160"/>
    </row>
    <row r="44" spans="1:4" x14ac:dyDescent="0.25">
      <c r="A44" s="160"/>
    </row>
    <row r="45" spans="1:4" x14ac:dyDescent="0.25">
      <c r="A45" s="160"/>
    </row>
    <row r="46" spans="1:4" x14ac:dyDescent="0.25">
      <c r="A46" s="160"/>
    </row>
    <row r="47" spans="1:4" x14ac:dyDescent="0.25">
      <c r="A47" s="160"/>
    </row>
    <row r="48" spans="1:4" x14ac:dyDescent="0.25">
      <c r="A48" s="160"/>
    </row>
    <row r="49" spans="1:1" x14ac:dyDescent="0.25">
      <c r="A49" s="160"/>
    </row>
    <row r="50" spans="1:1" x14ac:dyDescent="0.25">
      <c r="A50" s="160"/>
    </row>
    <row r="51" spans="1:1" x14ac:dyDescent="0.25">
      <c r="A51" s="160"/>
    </row>
    <row r="52" spans="1:1" x14ac:dyDescent="0.25">
      <c r="A52" s="160"/>
    </row>
    <row r="53" spans="1:1" x14ac:dyDescent="0.25">
      <c r="A53" s="160"/>
    </row>
    <row r="54" spans="1:1" x14ac:dyDescent="0.25">
      <c r="A54" s="160"/>
    </row>
    <row r="55" spans="1:1" x14ac:dyDescent="0.25">
      <c r="A55" s="160"/>
    </row>
    <row r="56" spans="1:1" x14ac:dyDescent="0.25">
      <c r="A56" s="160"/>
    </row>
    <row r="57" spans="1:1" x14ac:dyDescent="0.25">
      <c r="A57" s="160"/>
    </row>
    <row r="58" spans="1:1" x14ac:dyDescent="0.25">
      <c r="A58" s="160"/>
    </row>
    <row r="59" spans="1:1" x14ac:dyDescent="0.25">
      <c r="A59" s="160"/>
    </row>
    <row r="60" spans="1:1" x14ac:dyDescent="0.25">
      <c r="A60" s="160"/>
    </row>
    <row r="61" spans="1:1" x14ac:dyDescent="0.25">
      <c r="A61" s="160"/>
    </row>
    <row r="62" spans="1:1" x14ac:dyDescent="0.25">
      <c r="A62" s="160"/>
    </row>
    <row r="63" spans="1:1" x14ac:dyDescent="0.25">
      <c r="A63" s="160"/>
    </row>
    <row r="64" spans="1:1" x14ac:dyDescent="0.25">
      <c r="A64" s="160"/>
    </row>
    <row r="65" spans="1:1" x14ac:dyDescent="0.25">
      <c r="A65" s="160"/>
    </row>
    <row r="66" spans="1:1" x14ac:dyDescent="0.25">
      <c r="A66" s="160"/>
    </row>
    <row r="67" spans="1:1" x14ac:dyDescent="0.25">
      <c r="A67" s="160"/>
    </row>
    <row r="68" spans="1:1" x14ac:dyDescent="0.25">
      <c r="A68" s="160"/>
    </row>
    <row r="69" spans="1:1" x14ac:dyDescent="0.25">
      <c r="A69" s="160"/>
    </row>
    <row r="70" spans="1:1" x14ac:dyDescent="0.25">
      <c r="A70" s="160"/>
    </row>
    <row r="71" spans="1:1" x14ac:dyDescent="0.25">
      <c r="A71" s="160"/>
    </row>
    <row r="72" spans="1:1" x14ac:dyDescent="0.25">
      <c r="A72" s="160"/>
    </row>
    <row r="73" spans="1:1" x14ac:dyDescent="0.25">
      <c r="A73" s="160"/>
    </row>
    <row r="74" spans="1:1" x14ac:dyDescent="0.25">
      <c r="A74" s="160"/>
    </row>
    <row r="75" spans="1:1" x14ac:dyDescent="0.25">
      <c r="A75" s="160"/>
    </row>
    <row r="76" spans="1:1" x14ac:dyDescent="0.25">
      <c r="A76" s="160"/>
    </row>
    <row r="77" spans="1:1" x14ac:dyDescent="0.25">
      <c r="A77" s="160"/>
    </row>
    <row r="78" spans="1:1" x14ac:dyDescent="0.25">
      <c r="A78" s="160"/>
    </row>
    <row r="79" spans="1:1" x14ac:dyDescent="0.25">
      <c r="A79" s="160"/>
    </row>
    <row r="80" spans="1:1" x14ac:dyDescent="0.25">
      <c r="A80" s="160"/>
    </row>
    <row r="81" spans="1:1" x14ac:dyDescent="0.25">
      <c r="A81" s="160"/>
    </row>
    <row r="82" spans="1:1" x14ac:dyDescent="0.25">
      <c r="A82" s="160"/>
    </row>
    <row r="83" spans="1:1" x14ac:dyDescent="0.25">
      <c r="A83" s="160"/>
    </row>
    <row r="84" spans="1:1" x14ac:dyDescent="0.25">
      <c r="A84" s="160"/>
    </row>
    <row r="85" spans="1:1" x14ac:dyDescent="0.25">
      <c r="A85" s="160"/>
    </row>
    <row r="86" spans="1:1" x14ac:dyDescent="0.25">
      <c r="A86" s="160"/>
    </row>
    <row r="87" spans="1:1" x14ac:dyDescent="0.25">
      <c r="A87" s="160"/>
    </row>
    <row r="88" spans="1:1" x14ac:dyDescent="0.25">
      <c r="A88" s="160"/>
    </row>
    <row r="89" spans="1:1" x14ac:dyDescent="0.25">
      <c r="A89" s="160"/>
    </row>
    <row r="90" spans="1:1" x14ac:dyDescent="0.25">
      <c r="A90" s="160"/>
    </row>
    <row r="91" spans="1:1" x14ac:dyDescent="0.25">
      <c r="A91" s="160"/>
    </row>
    <row r="92" spans="1:1" x14ac:dyDescent="0.25">
      <c r="A92" s="160"/>
    </row>
    <row r="93" spans="1:1" x14ac:dyDescent="0.25">
      <c r="A93" s="160"/>
    </row>
    <row r="94" spans="1:1" x14ac:dyDescent="0.25">
      <c r="A94" s="160"/>
    </row>
    <row r="95" spans="1:1" x14ac:dyDescent="0.25">
      <c r="A95" s="160"/>
    </row>
    <row r="96" spans="1:1" x14ac:dyDescent="0.25">
      <c r="A96" s="160"/>
    </row>
    <row r="97" spans="1:1" x14ac:dyDescent="0.25">
      <c r="A97" s="160"/>
    </row>
    <row r="98" spans="1:1" x14ac:dyDescent="0.25">
      <c r="A98" s="160"/>
    </row>
    <row r="99" spans="1:1" x14ac:dyDescent="0.25">
      <c r="A99" s="160"/>
    </row>
    <row r="100" spans="1:1" x14ac:dyDescent="0.25">
      <c r="A100" s="160"/>
    </row>
    <row r="101" spans="1:1" x14ac:dyDescent="0.25">
      <c r="A101" s="160"/>
    </row>
    <row r="102" spans="1:1" x14ac:dyDescent="0.25">
      <c r="A102" s="160"/>
    </row>
    <row r="103" spans="1:1" x14ac:dyDescent="0.25">
      <c r="A103" s="160"/>
    </row>
    <row r="104" spans="1:1" x14ac:dyDescent="0.25">
      <c r="A104" s="160"/>
    </row>
    <row r="105" spans="1:1" x14ac:dyDescent="0.25">
      <c r="A105" s="160"/>
    </row>
    <row r="106" spans="1:1" x14ac:dyDescent="0.25">
      <c r="A106" s="160"/>
    </row>
    <row r="107" spans="1:1" x14ac:dyDescent="0.25">
      <c r="A107" s="160"/>
    </row>
    <row r="108" spans="1:1" x14ac:dyDescent="0.25">
      <c r="A108" s="160"/>
    </row>
    <row r="109" spans="1:1" x14ac:dyDescent="0.25">
      <c r="A109" s="160"/>
    </row>
    <row r="110" spans="1:1" x14ac:dyDescent="0.25">
      <c r="A110" s="160"/>
    </row>
    <row r="111" spans="1:1" x14ac:dyDescent="0.25">
      <c r="A111" s="160"/>
    </row>
    <row r="112" spans="1:1" x14ac:dyDescent="0.25">
      <c r="A112" s="160"/>
    </row>
    <row r="113" spans="1:1" x14ac:dyDescent="0.25">
      <c r="A113" s="160"/>
    </row>
    <row r="114" spans="1:1" x14ac:dyDescent="0.25">
      <c r="A114" s="155"/>
    </row>
    <row r="115" spans="1:1" x14ac:dyDescent="0.25">
      <c r="A115" s="155"/>
    </row>
    <row r="116" spans="1:1" x14ac:dyDescent="0.25">
      <c r="A116" s="155"/>
    </row>
    <row r="117" spans="1:1" x14ac:dyDescent="0.25">
      <c r="A117" s="155"/>
    </row>
    <row r="118" spans="1:1" x14ac:dyDescent="0.25">
      <c r="A118" s="155"/>
    </row>
    <row r="119" spans="1:1" x14ac:dyDescent="0.25">
      <c r="A119" s="155"/>
    </row>
    <row r="120" spans="1:1" x14ac:dyDescent="0.25">
      <c r="A120" s="155"/>
    </row>
    <row r="121" spans="1:1" x14ac:dyDescent="0.25">
      <c r="A121" s="155"/>
    </row>
    <row r="122" spans="1:1" x14ac:dyDescent="0.25">
      <c r="A122" s="155"/>
    </row>
    <row r="123" spans="1:1" x14ac:dyDescent="0.25">
      <c r="A123" s="155"/>
    </row>
    <row r="124" spans="1:1" x14ac:dyDescent="0.25">
      <c r="A124" s="155"/>
    </row>
    <row r="125" spans="1:1" x14ac:dyDescent="0.25">
      <c r="A125" s="155"/>
    </row>
    <row r="126" spans="1:1" x14ac:dyDescent="0.25">
      <c r="A126" s="155"/>
    </row>
    <row r="127" spans="1:1" x14ac:dyDescent="0.25">
      <c r="A127" s="155"/>
    </row>
    <row r="128" spans="1:1" x14ac:dyDescent="0.25">
      <c r="A128" s="155"/>
    </row>
    <row r="129" spans="1:1" x14ac:dyDescent="0.25">
      <c r="A129" s="155"/>
    </row>
    <row r="130" spans="1:1" x14ac:dyDescent="0.25">
      <c r="A130" s="155"/>
    </row>
    <row r="131" spans="1:1" x14ac:dyDescent="0.25">
      <c r="A131" s="155"/>
    </row>
    <row r="132" spans="1:1" x14ac:dyDescent="0.25">
      <c r="A132" s="155"/>
    </row>
    <row r="133" spans="1:1" x14ac:dyDescent="0.25">
      <c r="A133" s="155"/>
    </row>
    <row r="134" spans="1:1" x14ac:dyDescent="0.25">
      <c r="A134" s="155"/>
    </row>
    <row r="135" spans="1:1" x14ac:dyDescent="0.25">
      <c r="A135" s="155"/>
    </row>
    <row r="136" spans="1:1" x14ac:dyDescent="0.25">
      <c r="A136" s="155"/>
    </row>
    <row r="137" spans="1:1" x14ac:dyDescent="0.25">
      <c r="A137" s="155"/>
    </row>
    <row r="138" spans="1:1" x14ac:dyDescent="0.25">
      <c r="A138" s="155"/>
    </row>
    <row r="139" spans="1:1" x14ac:dyDescent="0.25">
      <c r="A139" s="155"/>
    </row>
    <row r="140" spans="1:1" x14ac:dyDescent="0.25">
      <c r="A140" s="155"/>
    </row>
    <row r="141" spans="1:1" x14ac:dyDescent="0.25">
      <c r="A141" s="155"/>
    </row>
    <row r="142" spans="1:1" x14ac:dyDescent="0.25">
      <c r="A142" s="155"/>
    </row>
    <row r="143" spans="1:1" x14ac:dyDescent="0.25">
      <c r="A143" s="155"/>
    </row>
    <row r="144" spans="1:1" x14ac:dyDescent="0.25">
      <c r="A144" s="155"/>
    </row>
    <row r="145" spans="1:1" x14ac:dyDescent="0.25">
      <c r="A145" s="155"/>
    </row>
    <row r="146" spans="1:1" x14ac:dyDescent="0.25">
      <c r="A146" s="155"/>
    </row>
    <row r="147" spans="1:1" x14ac:dyDescent="0.25">
      <c r="A147" s="155"/>
    </row>
    <row r="148" spans="1:1" x14ac:dyDescent="0.25">
      <c r="A148" s="155"/>
    </row>
    <row r="149" spans="1:1" x14ac:dyDescent="0.25">
      <c r="A149" s="155"/>
    </row>
    <row r="150" spans="1:1" x14ac:dyDescent="0.25">
      <c r="A150" s="155"/>
    </row>
    <row r="151" spans="1:1" x14ac:dyDescent="0.25">
      <c r="A151" s="155"/>
    </row>
    <row r="152" spans="1:1" x14ac:dyDescent="0.25">
      <c r="A152" s="155"/>
    </row>
    <row r="153" spans="1:1" x14ac:dyDescent="0.25">
      <c r="A153" s="155"/>
    </row>
    <row r="154" spans="1:1" x14ac:dyDescent="0.25">
      <c r="A154" s="155"/>
    </row>
    <row r="155" spans="1:1" x14ac:dyDescent="0.25">
      <c r="A155" s="155"/>
    </row>
    <row r="156" spans="1:1" x14ac:dyDescent="0.25">
      <c r="A156" s="155"/>
    </row>
    <row r="157" spans="1:1" x14ac:dyDescent="0.25">
      <c r="A157" s="155"/>
    </row>
    <row r="158" spans="1:1" x14ac:dyDescent="0.25">
      <c r="A158" s="155"/>
    </row>
    <row r="159" spans="1:1" x14ac:dyDescent="0.25">
      <c r="A159" s="155"/>
    </row>
    <row r="160" spans="1:1" x14ac:dyDescent="0.25">
      <c r="A160" s="155"/>
    </row>
    <row r="161" spans="1:1" x14ac:dyDescent="0.25">
      <c r="A161" s="155"/>
    </row>
    <row r="162" spans="1:1" x14ac:dyDescent="0.25">
      <c r="A162" s="155"/>
    </row>
    <row r="163" spans="1:1" x14ac:dyDescent="0.25">
      <c r="A163" s="155"/>
    </row>
    <row r="164" spans="1:1" x14ac:dyDescent="0.25">
      <c r="A164" s="155"/>
    </row>
    <row r="165" spans="1:1" x14ac:dyDescent="0.25">
      <c r="A165" s="155"/>
    </row>
    <row r="166" spans="1:1" x14ac:dyDescent="0.25">
      <c r="A166" s="155"/>
    </row>
    <row r="167" spans="1:1" x14ac:dyDescent="0.25">
      <c r="A167" s="155"/>
    </row>
    <row r="168" spans="1:1" x14ac:dyDescent="0.25">
      <c r="A168" s="155"/>
    </row>
    <row r="169" spans="1:1" x14ac:dyDescent="0.25">
      <c r="A169" s="155"/>
    </row>
    <row r="170" spans="1:1" x14ac:dyDescent="0.25">
      <c r="A170" s="155"/>
    </row>
    <row r="171" spans="1:1" x14ac:dyDescent="0.25">
      <c r="A171" s="155"/>
    </row>
    <row r="172" spans="1:1" x14ac:dyDescent="0.25">
      <c r="A172" s="155"/>
    </row>
    <row r="173" spans="1:1" x14ac:dyDescent="0.25">
      <c r="A173" s="155"/>
    </row>
    <row r="174" spans="1:1" x14ac:dyDescent="0.25">
      <c r="A174" s="155"/>
    </row>
    <row r="175" spans="1:1" x14ac:dyDescent="0.25">
      <c r="A175" s="155"/>
    </row>
    <row r="176" spans="1:1" x14ac:dyDescent="0.25">
      <c r="A176" s="155"/>
    </row>
    <row r="177" spans="1:1" x14ac:dyDescent="0.25">
      <c r="A177" s="155"/>
    </row>
    <row r="178" spans="1:1" x14ac:dyDescent="0.25">
      <c r="A178" s="155"/>
    </row>
    <row r="179" spans="1:1" x14ac:dyDescent="0.25">
      <c r="A179" s="155"/>
    </row>
    <row r="180" spans="1:1" x14ac:dyDescent="0.25">
      <c r="A180" s="155"/>
    </row>
    <row r="181" spans="1:1" x14ac:dyDescent="0.25">
      <c r="A181" s="155"/>
    </row>
    <row r="182" spans="1:1" x14ac:dyDescent="0.25">
      <c r="A182" s="155"/>
    </row>
    <row r="183" spans="1:1" x14ac:dyDescent="0.25">
      <c r="A183" s="155"/>
    </row>
    <row r="184" spans="1:1" x14ac:dyDescent="0.25">
      <c r="A184" s="155"/>
    </row>
    <row r="185" spans="1:1" x14ac:dyDescent="0.25">
      <c r="A185" s="155"/>
    </row>
    <row r="186" spans="1:1" x14ac:dyDescent="0.25">
      <c r="A186" s="155"/>
    </row>
    <row r="187" spans="1:1" x14ac:dyDescent="0.25">
      <c r="A187" s="155"/>
    </row>
    <row r="188" spans="1:1" x14ac:dyDescent="0.25">
      <c r="A188" s="155"/>
    </row>
    <row r="189" spans="1:1" x14ac:dyDescent="0.25">
      <c r="A189" s="155"/>
    </row>
    <row r="190" spans="1:1" x14ac:dyDescent="0.25">
      <c r="A190" s="155"/>
    </row>
    <row r="191" spans="1:1" x14ac:dyDescent="0.25">
      <c r="A191" s="155"/>
    </row>
    <row r="192" spans="1:1" x14ac:dyDescent="0.25">
      <c r="A192" s="155"/>
    </row>
    <row r="193" spans="1:1" x14ac:dyDescent="0.25">
      <c r="A193" s="155"/>
    </row>
    <row r="194" spans="1:1" x14ac:dyDescent="0.25">
      <c r="A194" s="155"/>
    </row>
    <row r="195" spans="1:1" x14ac:dyDescent="0.25">
      <c r="A195" s="155"/>
    </row>
    <row r="196" spans="1:1" x14ac:dyDescent="0.25">
      <c r="A196" s="155"/>
    </row>
    <row r="197" spans="1:1" x14ac:dyDescent="0.25">
      <c r="A197" s="155"/>
    </row>
    <row r="198" spans="1:1" x14ac:dyDescent="0.25">
      <c r="A198" s="155"/>
    </row>
    <row r="199" spans="1:1" x14ac:dyDescent="0.25">
      <c r="A199" s="155"/>
    </row>
    <row r="200" spans="1:1" x14ac:dyDescent="0.25">
      <c r="A200" s="155"/>
    </row>
    <row r="201" spans="1:1" x14ac:dyDescent="0.25">
      <c r="A201" s="155"/>
    </row>
    <row r="202" spans="1:1" x14ac:dyDescent="0.25">
      <c r="A202" s="155"/>
    </row>
    <row r="203" spans="1:1" x14ac:dyDescent="0.25">
      <c r="A203" s="155"/>
    </row>
    <row r="204" spans="1:1" x14ac:dyDescent="0.25">
      <c r="A204" s="155"/>
    </row>
    <row r="205" spans="1:1" x14ac:dyDescent="0.25">
      <c r="A205" s="155"/>
    </row>
    <row r="206" spans="1:1" x14ac:dyDescent="0.25">
      <c r="A206" s="155"/>
    </row>
    <row r="207" spans="1:1" x14ac:dyDescent="0.25">
      <c r="A207" s="155"/>
    </row>
    <row r="208" spans="1:1" x14ac:dyDescent="0.25">
      <c r="A208" s="155"/>
    </row>
    <row r="209" spans="1:1" x14ac:dyDescent="0.25">
      <c r="A209" s="155"/>
    </row>
    <row r="210" spans="1:1" x14ac:dyDescent="0.25">
      <c r="A210" s="155"/>
    </row>
    <row r="211" spans="1:1" x14ac:dyDescent="0.25">
      <c r="A211" s="155"/>
    </row>
    <row r="212" spans="1:1" x14ac:dyDescent="0.25">
      <c r="A212" s="155"/>
    </row>
    <row r="213" spans="1:1" x14ac:dyDescent="0.25">
      <c r="A213" s="155"/>
    </row>
    <row r="214" spans="1:1" x14ac:dyDescent="0.25">
      <c r="A214" s="155"/>
    </row>
    <row r="215" spans="1:1" x14ac:dyDescent="0.25">
      <c r="A215" s="155"/>
    </row>
    <row r="216" spans="1:1" x14ac:dyDescent="0.25">
      <c r="A216" s="155"/>
    </row>
    <row r="217" spans="1:1" x14ac:dyDescent="0.25">
      <c r="A217" s="155"/>
    </row>
    <row r="218" spans="1:1" x14ac:dyDescent="0.25">
      <c r="A218" s="155"/>
    </row>
    <row r="219" spans="1:1" x14ac:dyDescent="0.25">
      <c r="A219" s="155"/>
    </row>
    <row r="220" spans="1:1" x14ac:dyDescent="0.25">
      <c r="A220" s="155"/>
    </row>
    <row r="221" spans="1:1" x14ac:dyDescent="0.25">
      <c r="A221" s="155"/>
    </row>
    <row r="222" spans="1:1" x14ac:dyDescent="0.25">
      <c r="A222" s="155"/>
    </row>
    <row r="223" spans="1:1" x14ac:dyDescent="0.25">
      <c r="A223" s="155"/>
    </row>
    <row r="224" spans="1:1" x14ac:dyDescent="0.25">
      <c r="A224" s="155"/>
    </row>
    <row r="225" spans="1:1" x14ac:dyDescent="0.25">
      <c r="A225" s="155"/>
    </row>
    <row r="226" spans="1:1" x14ac:dyDescent="0.25">
      <c r="A226" s="155"/>
    </row>
    <row r="227" spans="1:1" x14ac:dyDescent="0.25">
      <c r="A227" s="155"/>
    </row>
    <row r="228" spans="1:1" x14ac:dyDescent="0.25">
      <c r="A228" s="155"/>
    </row>
    <row r="229" spans="1:1" x14ac:dyDescent="0.25">
      <c r="A229" s="155"/>
    </row>
    <row r="230" spans="1:1" x14ac:dyDescent="0.25">
      <c r="A230" s="155"/>
    </row>
    <row r="231" spans="1:1" x14ac:dyDescent="0.25">
      <c r="A231" s="155"/>
    </row>
    <row r="232" spans="1:1" x14ac:dyDescent="0.25">
      <c r="A232" s="155"/>
    </row>
    <row r="233" spans="1:1" x14ac:dyDescent="0.25">
      <c r="A233" s="155"/>
    </row>
    <row r="234" spans="1:1" x14ac:dyDescent="0.25">
      <c r="A234" s="155"/>
    </row>
    <row r="235" spans="1:1" x14ac:dyDescent="0.25">
      <c r="A235" s="155"/>
    </row>
    <row r="236" spans="1:1" x14ac:dyDescent="0.25">
      <c r="A236" s="155"/>
    </row>
    <row r="237" spans="1:1" x14ac:dyDescent="0.25">
      <c r="A237" s="155"/>
    </row>
    <row r="238" spans="1:1" x14ac:dyDescent="0.25">
      <c r="A238" s="155"/>
    </row>
    <row r="239" spans="1:1" x14ac:dyDescent="0.25">
      <c r="A239" s="155"/>
    </row>
    <row r="240" spans="1:1" x14ac:dyDescent="0.25">
      <c r="A240" s="155"/>
    </row>
    <row r="241" spans="1:1" x14ac:dyDescent="0.25">
      <c r="A241" s="155"/>
    </row>
    <row r="242" spans="1:1" x14ac:dyDescent="0.25">
      <c r="A242" s="155"/>
    </row>
    <row r="243" spans="1:1" x14ac:dyDescent="0.25">
      <c r="A243" s="155"/>
    </row>
  </sheetData>
  <phoneticPr fontId="17" type="noConversion"/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37"/>
  <sheetViews>
    <sheetView showGridLines="0" tabSelected="1" zoomScale="90" zoomScaleNormal="90" workbookViewId="0"/>
  </sheetViews>
  <sheetFormatPr defaultRowHeight="12.5" x14ac:dyDescent="0.25"/>
  <cols>
    <col min="1" max="1" width="21.7265625" customWidth="1"/>
    <col min="2" max="2" width="11.54296875" customWidth="1"/>
    <col min="3" max="3" width="9.54296875" customWidth="1"/>
    <col min="4" max="4" width="8.54296875" customWidth="1"/>
    <col min="5" max="5" width="9.7265625" customWidth="1"/>
    <col min="6" max="6" width="10.7265625" customWidth="1"/>
    <col min="7" max="7" width="7.7265625" customWidth="1"/>
    <col min="8" max="8" width="9.7265625" customWidth="1"/>
    <col min="9" max="9" width="1.7265625" customWidth="1"/>
    <col min="10" max="10" width="9.7265625" customWidth="1"/>
    <col min="11" max="12" width="10.7265625" customWidth="1"/>
    <col min="13" max="14" width="9.7265625" customWidth="1"/>
  </cols>
  <sheetData>
    <row r="1" spans="1:14" ht="14" x14ac:dyDescent="0.3">
      <c r="A1" s="34" t="s">
        <v>146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4" x14ac:dyDescent="0.3">
      <c r="A2" s="35"/>
      <c r="B2" s="135" t="s">
        <v>21</v>
      </c>
      <c r="C2" s="132"/>
      <c r="D2" s="37" t="s">
        <v>24</v>
      </c>
      <c r="E2" s="134"/>
      <c r="F2" s="132" t="s">
        <v>81</v>
      </c>
      <c r="G2" s="132"/>
      <c r="H2" s="132"/>
      <c r="I2" s="38"/>
      <c r="J2" s="134"/>
      <c r="K2" s="132"/>
      <c r="L2" s="136" t="s">
        <v>62</v>
      </c>
      <c r="M2" s="132"/>
      <c r="N2" s="35"/>
    </row>
    <row r="3" spans="1:14" ht="14" x14ac:dyDescent="0.3">
      <c r="A3" s="35" t="s">
        <v>74</v>
      </c>
      <c r="B3" s="37" t="s">
        <v>22</v>
      </c>
      <c r="C3" s="35" t="s">
        <v>23</v>
      </c>
      <c r="D3" s="37"/>
      <c r="E3" s="39" t="s">
        <v>8</v>
      </c>
      <c r="F3" s="39"/>
      <c r="G3" s="39"/>
      <c r="H3" s="39"/>
      <c r="I3" s="39"/>
      <c r="J3" s="37" t="s">
        <v>64</v>
      </c>
      <c r="K3" s="39" t="s">
        <v>89</v>
      </c>
      <c r="L3" s="39"/>
      <c r="M3" s="39"/>
      <c r="N3" s="39" t="s">
        <v>6</v>
      </c>
    </row>
    <row r="4" spans="1:14" ht="14" x14ac:dyDescent="0.3">
      <c r="A4" s="40" t="s">
        <v>78</v>
      </c>
      <c r="B4" s="41"/>
      <c r="C4" s="41"/>
      <c r="D4" s="41"/>
      <c r="E4" s="42" t="s">
        <v>7</v>
      </c>
      <c r="F4" s="42" t="s">
        <v>1</v>
      </c>
      <c r="G4" s="43" t="s">
        <v>2</v>
      </c>
      <c r="H4" s="44" t="s">
        <v>3</v>
      </c>
      <c r="I4" s="43"/>
      <c r="J4" s="43"/>
      <c r="K4" s="43" t="s">
        <v>5</v>
      </c>
      <c r="L4" s="44" t="s">
        <v>4</v>
      </c>
      <c r="M4" s="42" t="s">
        <v>3</v>
      </c>
      <c r="N4" s="43" t="s">
        <v>7</v>
      </c>
    </row>
    <row r="5" spans="1:14" ht="14.5" x14ac:dyDescent="0.35">
      <c r="A5" s="35"/>
      <c r="B5" s="130" t="s">
        <v>82</v>
      </c>
      <c r="C5" s="131"/>
      <c r="D5" s="45" t="s">
        <v>66</v>
      </c>
      <c r="G5" s="130"/>
      <c r="I5" s="130"/>
      <c r="J5" s="133" t="s">
        <v>142</v>
      </c>
      <c r="K5" s="130"/>
      <c r="L5" s="130"/>
      <c r="M5" s="130"/>
      <c r="N5" s="130"/>
    </row>
    <row r="6" spans="1:14" ht="16.5" customHeight="1" x14ac:dyDescent="0.3">
      <c r="A6" s="35" t="s">
        <v>140</v>
      </c>
      <c r="B6" s="46">
        <v>89.167000000000002</v>
      </c>
      <c r="C6" s="46">
        <v>87.593999999999994</v>
      </c>
      <c r="D6" s="46">
        <f>F6/C6</f>
        <v>50.553120076717583</v>
      </c>
      <c r="E6" s="47">
        <v>438.10500000000002</v>
      </c>
      <c r="F6" s="48">
        <v>4428.1499999999996</v>
      </c>
      <c r="G6" s="49">
        <v>14.0573</v>
      </c>
      <c r="H6" s="49">
        <f>SUM(E6:G6)</f>
        <v>4880.3122999999996</v>
      </c>
      <c r="I6" s="35"/>
      <c r="J6" s="48">
        <v>2091.9902666666667</v>
      </c>
      <c r="K6" s="48">
        <f>M6-L6-J6</f>
        <v>203.01353333333282</v>
      </c>
      <c r="L6" s="49">
        <v>1676.2565</v>
      </c>
      <c r="M6" s="49">
        <f>H6-N6</f>
        <v>3971.2602999999995</v>
      </c>
      <c r="N6" s="49">
        <v>909.05200000000002</v>
      </c>
    </row>
    <row r="7" spans="1:14" ht="16.5" customHeight="1" x14ac:dyDescent="0.3">
      <c r="A7" s="35" t="s">
        <v>144</v>
      </c>
      <c r="B7" s="46">
        <v>76.099999999999994</v>
      </c>
      <c r="C7" s="46">
        <v>74.938999999999993</v>
      </c>
      <c r="D7" s="46">
        <f>F7/C7</f>
        <v>47.397323156167019</v>
      </c>
      <c r="E7" s="47">
        <f>N6</f>
        <v>909.05200000000002</v>
      </c>
      <c r="F7" s="48">
        <f>F15</f>
        <v>3551.9079999999999</v>
      </c>
      <c r="G7" s="49">
        <f>G28</f>
        <v>15.399722739414511</v>
      </c>
      <c r="H7" s="49">
        <f>SUM(E7:G7)</f>
        <v>4476.3597227394148</v>
      </c>
      <c r="I7" s="35"/>
      <c r="J7" s="48">
        <f>J28</f>
        <v>2164.5542333333333</v>
      </c>
      <c r="K7" s="48">
        <f>M7-L7-J7</f>
        <v>105.241716924927</v>
      </c>
      <c r="L7" s="49">
        <f>L28</f>
        <v>1682.0227724811543</v>
      </c>
      <c r="M7" s="49">
        <f>H7-N7</f>
        <v>3951.8187227394146</v>
      </c>
      <c r="N7" s="49">
        <f>N27</f>
        <v>524.54100000000005</v>
      </c>
    </row>
    <row r="8" spans="1:14" ht="16.5" customHeight="1" x14ac:dyDescent="0.3">
      <c r="A8" s="35" t="s">
        <v>156</v>
      </c>
      <c r="B8" s="46">
        <v>83.084000000000003</v>
      </c>
      <c r="C8" s="46">
        <v>82.317999999999998</v>
      </c>
      <c r="D8" s="46">
        <f>F8/C8</f>
        <v>50.237821618601032</v>
      </c>
      <c r="E8" s="47">
        <f>N7</f>
        <v>524.54100000000005</v>
      </c>
      <c r="F8" s="48">
        <f>F34</f>
        <v>4135.4769999999999</v>
      </c>
      <c r="G8" s="49">
        <v>35</v>
      </c>
      <c r="H8" s="49">
        <f>SUM(E8:G8)</f>
        <v>4695.018</v>
      </c>
      <c r="I8" s="35"/>
      <c r="J8" s="48">
        <v>2200</v>
      </c>
      <c r="K8" s="48">
        <f>M8-L8-J8</f>
        <v>125.01800000000003</v>
      </c>
      <c r="L8" s="49">
        <v>2250</v>
      </c>
      <c r="M8" s="49">
        <f>H8-N8</f>
        <v>4575.018</v>
      </c>
      <c r="N8" s="49">
        <v>120</v>
      </c>
    </row>
    <row r="9" spans="1:14" ht="16.5" customHeight="1" x14ac:dyDescent="0.3">
      <c r="A9" s="38"/>
      <c r="B9" s="38"/>
      <c r="C9" s="38"/>
      <c r="D9" s="38"/>
      <c r="E9" s="51"/>
      <c r="F9" s="51"/>
      <c r="G9" s="52"/>
      <c r="H9" s="51"/>
      <c r="I9" s="51"/>
      <c r="J9" s="52"/>
      <c r="K9" s="52"/>
      <c r="L9" s="52"/>
      <c r="M9" s="52"/>
      <c r="N9" s="52"/>
    </row>
    <row r="10" spans="1:14" ht="16.5" customHeight="1" x14ac:dyDescent="0.3">
      <c r="A10" s="38" t="s">
        <v>65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76"/>
    </row>
    <row r="11" spans="1:14" ht="16.5" customHeight="1" x14ac:dyDescent="0.3">
      <c r="A11" s="35" t="s">
        <v>145</v>
      </c>
      <c r="B11" s="128"/>
      <c r="C11" s="128"/>
      <c r="D11" s="128"/>
      <c r="E11" s="128"/>
      <c r="F11" s="128"/>
      <c r="G11" s="56"/>
      <c r="H11" s="57"/>
      <c r="I11" s="138"/>
      <c r="J11" s="57"/>
      <c r="K11" s="57"/>
      <c r="L11" s="56"/>
      <c r="M11" s="56"/>
      <c r="N11" s="128"/>
    </row>
    <row r="12" spans="1:14" ht="16.5" customHeight="1" x14ac:dyDescent="0.3">
      <c r="A12" s="38" t="s">
        <v>92</v>
      </c>
      <c r="B12" s="128"/>
      <c r="C12" s="128"/>
      <c r="D12" s="128"/>
      <c r="G12" s="56">
        <f>(0.61606+25.572761+5.722113)*2.204622/60</f>
        <v>1.1725257856158</v>
      </c>
      <c r="I12" s="128"/>
      <c r="J12" s="57">
        <f>4.870034*2000/60</f>
        <v>162.33446666666669</v>
      </c>
      <c r="K12" s="58"/>
      <c r="L12" s="56">
        <f>(34.198907+3866.166)*2.204622/60</f>
        <v>143.31383803333591</v>
      </c>
      <c r="M12" s="56"/>
      <c r="N12" s="57"/>
    </row>
    <row r="13" spans="1:14" ht="16.5" customHeight="1" x14ac:dyDescent="0.3">
      <c r="A13" s="38" t="s">
        <v>97</v>
      </c>
      <c r="B13" s="128"/>
      <c r="C13" s="128"/>
      <c r="D13" s="128"/>
      <c r="E13" s="53"/>
      <c r="F13" s="55"/>
      <c r="G13" s="56">
        <f>(1.045181+37.412542+15.259817)*2.204622/60</f>
        <v>1.9737811744980001</v>
      </c>
      <c r="H13" s="57"/>
      <c r="I13" s="128"/>
      <c r="J13" s="57">
        <f>5.615616*2000/60</f>
        <v>187.18719999999999</v>
      </c>
      <c r="K13" s="58"/>
      <c r="L13" s="56">
        <f>(31.439182+5862.128)*2.204622/60</f>
        <v>216.55146446525342</v>
      </c>
      <c r="M13" s="56"/>
      <c r="N13" s="57"/>
    </row>
    <row r="14" spans="1:14" ht="16.5" customHeight="1" x14ac:dyDescent="0.3">
      <c r="A14" s="38" t="s">
        <v>99</v>
      </c>
      <c r="B14" s="128"/>
      <c r="C14" s="128"/>
      <c r="D14" s="128"/>
      <c r="E14" s="53"/>
      <c r="F14" s="55"/>
      <c r="G14" s="56">
        <f>(0.996565+5.711141+5.30294)*2.204622/60</f>
        <v>0.44131557343020006</v>
      </c>
      <c r="H14" s="57"/>
      <c r="I14" s="128"/>
      <c r="J14" s="57">
        <f>5.239452*2000/60</f>
        <v>174.64840000000001</v>
      </c>
      <c r="K14" s="58"/>
      <c r="L14" s="56">
        <f>(18.866325+6806.837)*2.204622/60</f>
        <v>250.80159526280252</v>
      </c>
      <c r="M14" s="56"/>
      <c r="N14" s="57"/>
    </row>
    <row r="15" spans="1:14" ht="16.5" customHeight="1" x14ac:dyDescent="0.3">
      <c r="A15" s="38" t="s">
        <v>71</v>
      </c>
      <c r="B15" s="128"/>
      <c r="C15" s="128"/>
      <c r="D15" s="128"/>
      <c r="E15" s="53">
        <v>909.05200000000002</v>
      </c>
      <c r="F15" s="55">
        <f>3551.908</f>
        <v>3551.9079999999999</v>
      </c>
      <c r="G15" s="56">
        <f>SUM(G12:G14)</f>
        <v>3.5876225335440002</v>
      </c>
      <c r="H15" s="57">
        <f>E15+F15+G15</f>
        <v>4464.5476225335442</v>
      </c>
      <c r="I15" s="128"/>
      <c r="J15" s="57">
        <f>SUM(J12:J14)</f>
        <v>524.17006666666668</v>
      </c>
      <c r="K15" s="58">
        <f>M15-L15-J15</f>
        <v>77.222658105485834</v>
      </c>
      <c r="L15" s="56">
        <f>SUM(L12:L14)</f>
        <v>610.66689776139185</v>
      </c>
      <c r="M15" s="56">
        <f>H15-N15</f>
        <v>1212.0596225335444</v>
      </c>
      <c r="N15" s="57">
        <v>3252.4879999999998</v>
      </c>
    </row>
    <row r="16" spans="1:14" ht="16.5" customHeight="1" x14ac:dyDescent="0.3">
      <c r="A16" s="35" t="s">
        <v>100</v>
      </c>
      <c r="B16" s="128"/>
      <c r="C16" s="128"/>
      <c r="D16" s="128"/>
      <c r="E16" s="53"/>
      <c r="F16" s="56"/>
      <c r="G16" s="56">
        <f>(2.394047+31.047659+4.372992)*2.204622/60</f>
        <v>1.3894519189025998</v>
      </c>
      <c r="H16" s="57"/>
      <c r="I16" s="128"/>
      <c r="J16" s="57">
        <f>5.542274*2000/60</f>
        <v>184.74246666666667</v>
      </c>
      <c r="K16" s="58"/>
      <c r="L16" s="56">
        <f>(18.302084+5638.722)*2.204622/60</f>
        <v>207.85999583527078</v>
      </c>
      <c r="M16" s="56"/>
      <c r="N16" s="57"/>
    </row>
    <row r="17" spans="1:14" ht="16.5" customHeight="1" x14ac:dyDescent="0.3">
      <c r="A17" s="35" t="s">
        <v>101</v>
      </c>
      <c r="B17" s="128"/>
      <c r="C17" s="128"/>
      <c r="D17" s="128"/>
      <c r="E17" s="53"/>
      <c r="F17" s="55"/>
      <c r="G17" s="56">
        <f>(8.096021+19.453759+3.525378)*2.204622/60</f>
        <v>1.1418162830046001</v>
      </c>
      <c r="H17" s="57"/>
      <c r="I17" s="128"/>
      <c r="J17" s="57">
        <f>5.663403*2000/60</f>
        <v>188.78009999999998</v>
      </c>
      <c r="K17" s="58"/>
      <c r="L17" s="56">
        <f>(22.638687+5296.569)*2.204622/60</f>
        <v>195.44737148882191</v>
      </c>
      <c r="M17" s="56"/>
      <c r="N17" s="57"/>
    </row>
    <row r="18" spans="1:14" ht="16.5" customHeight="1" x14ac:dyDescent="0.3">
      <c r="A18" s="35" t="s">
        <v>102</v>
      </c>
      <c r="B18" s="128"/>
      <c r="C18" s="128"/>
      <c r="D18" s="128"/>
      <c r="E18" s="53"/>
      <c r="F18" s="55"/>
      <c r="G18" s="56">
        <f>(1.166549+36.489844+3.682102)*2.204622/60</f>
        <v>1.5189292587315002</v>
      </c>
      <c r="H18" s="57"/>
      <c r="I18" s="128"/>
      <c r="J18" s="57">
        <f>5.258777*2000/60</f>
        <v>175.29256666666666</v>
      </c>
      <c r="K18" s="58"/>
      <c r="L18" s="56">
        <f>(14.336042+2744.522)*2.204622/60</f>
        <v>101.3706522378354</v>
      </c>
      <c r="M18" s="128"/>
      <c r="N18" s="128"/>
    </row>
    <row r="19" spans="1:14" ht="16.5" customHeight="1" x14ac:dyDescent="0.3">
      <c r="A19" s="35" t="s">
        <v>72</v>
      </c>
      <c r="B19" s="128"/>
      <c r="C19" s="128"/>
      <c r="D19" s="128"/>
      <c r="E19" s="53">
        <f>N15</f>
        <v>3252.4879999999998</v>
      </c>
      <c r="F19" s="55"/>
      <c r="G19" s="56">
        <f>SUM(G16:G18)</f>
        <v>4.0501974606387003</v>
      </c>
      <c r="H19" s="57">
        <f>E19+F19+G19</f>
        <v>3256.5381974606385</v>
      </c>
      <c r="I19" s="128"/>
      <c r="J19" s="57">
        <f>SUM(J16:J18)</f>
        <v>548.81513333333328</v>
      </c>
      <c r="K19" s="58">
        <f>M19-L19-J19</f>
        <v>-51.836955434622951</v>
      </c>
      <c r="L19" s="56">
        <f>SUM(L16:L18)</f>
        <v>504.67801956192807</v>
      </c>
      <c r="M19" s="56">
        <f>H19-N19</f>
        <v>1001.6561974606384</v>
      </c>
      <c r="N19" s="57">
        <v>2254.8820000000001</v>
      </c>
    </row>
    <row r="20" spans="1:14" ht="16.5" customHeight="1" x14ac:dyDescent="0.3">
      <c r="A20" s="35" t="s">
        <v>103</v>
      </c>
      <c r="B20" s="128"/>
      <c r="C20" s="128"/>
      <c r="D20" s="128"/>
      <c r="E20" s="53"/>
      <c r="F20" s="55"/>
      <c r="G20" s="56">
        <f>(13.511735+22.972721+5.958844)*2.204622/60</f>
        <v>1.5595238822100002</v>
      </c>
      <c r="H20" s="57"/>
      <c r="I20" s="128"/>
      <c r="J20" s="57">
        <f>5.764867*2000/60</f>
        <v>192.16223333333335</v>
      </c>
      <c r="K20" s="58"/>
      <c r="L20" s="56">
        <f>(18.610925+2552.241)*2.204622/60</f>
        <v>94.462611876622503</v>
      </c>
      <c r="M20" s="56"/>
      <c r="N20" s="57"/>
    </row>
    <row r="21" spans="1:14" ht="16.5" customHeight="1" x14ac:dyDescent="0.3">
      <c r="A21" s="35" t="s">
        <v>104</v>
      </c>
      <c r="B21" s="128"/>
      <c r="C21" s="128"/>
      <c r="D21" s="128"/>
      <c r="E21" s="53"/>
      <c r="F21" s="55"/>
      <c r="G21" s="56">
        <f>(5.570598+10.245373+9.643559)*2.204622/60</f>
        <v>0.93547733246100007</v>
      </c>
      <c r="H21" s="57"/>
      <c r="I21" s="128"/>
      <c r="J21" s="57">
        <f>5.501825*2000/60</f>
        <v>183.39416666666665</v>
      </c>
      <c r="K21" s="58"/>
      <c r="L21" s="56">
        <f>(20.838345+2142.276)*2.204622/60</f>
        <v>79.480824558376497</v>
      </c>
      <c r="M21" s="56"/>
      <c r="N21" s="57"/>
    </row>
    <row r="22" spans="1:14" ht="16.5" customHeight="1" x14ac:dyDescent="0.3">
      <c r="A22" s="35" t="s">
        <v>105</v>
      </c>
      <c r="B22" s="128"/>
      <c r="C22" s="128"/>
      <c r="D22" s="128"/>
      <c r="E22" s="53"/>
      <c r="F22" s="55"/>
      <c r="G22" s="56">
        <f>(2.133054+19.16263+9.57398)*2.204622/60</f>
        <v>1.1342656731168002</v>
      </c>
      <c r="H22" s="57"/>
      <c r="I22" s="128"/>
      <c r="J22" s="57">
        <f>5.386534*2000/60</f>
        <v>179.55113333333335</v>
      </c>
      <c r="K22" s="58"/>
      <c r="L22" s="56">
        <f>(21.557089+1943.847)*2.204622/60</f>
        <v>72.216218224989291</v>
      </c>
      <c r="M22" s="56"/>
      <c r="N22" s="57"/>
    </row>
    <row r="23" spans="1:14" ht="16.5" customHeight="1" x14ac:dyDescent="0.3">
      <c r="A23" s="35" t="s">
        <v>73</v>
      </c>
      <c r="B23" s="38"/>
      <c r="C23" s="38"/>
      <c r="D23" s="38"/>
      <c r="E23" s="53">
        <f>N19</f>
        <v>2254.8820000000001</v>
      </c>
      <c r="F23" s="59"/>
      <c r="G23" s="56">
        <f>SUM(G20:G22)</f>
        <v>3.6292668877878005</v>
      </c>
      <c r="H23" s="57">
        <f>E23+F23+G23</f>
        <v>2258.5112668877878</v>
      </c>
      <c r="I23" s="57"/>
      <c r="J23" s="57">
        <f>SUM(J20:J22)</f>
        <v>555.10753333333332</v>
      </c>
      <c r="K23" s="60">
        <f>M23-L23-J23</f>
        <v>75.850078894466151</v>
      </c>
      <c r="L23" s="56">
        <f>SUM(L20:L22)</f>
        <v>246.15965465998829</v>
      </c>
      <c r="M23" s="56">
        <f>H23-N23</f>
        <v>877.11726688778776</v>
      </c>
      <c r="N23" s="57">
        <v>1381.394</v>
      </c>
    </row>
    <row r="24" spans="1:14" ht="16.5" customHeight="1" x14ac:dyDescent="0.3">
      <c r="A24" s="35" t="s">
        <v>165</v>
      </c>
      <c r="B24" s="38"/>
      <c r="C24" s="38"/>
      <c r="D24" s="38"/>
      <c r="E24" s="53"/>
      <c r="F24" s="59"/>
      <c r="G24" s="56">
        <f>(2.390293+33.764567+8.787479)*2.204622/60</f>
        <v>1.6513478215142998</v>
      </c>
      <c r="H24" s="57"/>
      <c r="I24" s="57"/>
      <c r="J24" s="57">
        <f>5.318419*2000/60</f>
        <v>177.28063333333333</v>
      </c>
      <c r="K24" s="60"/>
      <c r="L24" s="56">
        <f>(21.146851+1778.049)*2.204622/60</f>
        <v>66.109112590388705</v>
      </c>
      <c r="M24" s="56"/>
      <c r="N24" s="57"/>
    </row>
    <row r="25" spans="1:14" ht="16.5" customHeight="1" x14ac:dyDescent="0.3">
      <c r="A25" s="35" t="s">
        <v>166</v>
      </c>
      <c r="B25" s="38"/>
      <c r="C25" s="38"/>
      <c r="D25" s="38"/>
      <c r="E25" s="53"/>
      <c r="F25" s="59"/>
      <c r="G25" s="56">
        <f>(2.3824143+38.020274+7.574612)*2.204622/60</f>
        <v>1.7628635290331103</v>
      </c>
      <c r="H25" s="57"/>
      <c r="I25" s="57"/>
      <c r="J25" s="57">
        <f>5.535196*2000/60</f>
        <v>184.50653333333332</v>
      </c>
      <c r="K25" s="60"/>
      <c r="L25" s="56">
        <f>(24.132099+2192.059)*2.204622/60</f>
        <v>81.431060884326314</v>
      </c>
      <c r="M25" s="56"/>
      <c r="N25" s="57"/>
    </row>
    <row r="26" spans="1:14" ht="16.5" customHeight="1" x14ac:dyDescent="0.3">
      <c r="A26" s="35" t="s">
        <v>167</v>
      </c>
      <c r="B26" s="38"/>
      <c r="C26" s="38"/>
      <c r="D26" s="38"/>
      <c r="E26" s="53"/>
      <c r="F26" s="59"/>
      <c r="G26" s="56">
        <f>(0.701049+12.986497+5.864772)*2.204622/60</f>
        <v>0.71842450689659998</v>
      </c>
      <c r="H26" s="57"/>
      <c r="I26" s="57"/>
      <c r="J26" s="57">
        <f>5.24023*2000/60</f>
        <v>174.67433333333335</v>
      </c>
      <c r="K26" s="60"/>
      <c r="L26" s="56">
        <f>(30.796122+4676.896)*2.204622/60</f>
        <v>172.97802702313138</v>
      </c>
      <c r="M26" s="56"/>
      <c r="N26" s="57"/>
    </row>
    <row r="27" spans="1:14" ht="16.5" customHeight="1" x14ac:dyDescent="0.3">
      <c r="A27" s="35" t="s">
        <v>174</v>
      </c>
      <c r="B27" s="38"/>
      <c r="C27" s="38"/>
      <c r="D27" s="38"/>
      <c r="E27" s="53">
        <f>N23</f>
        <v>1381.394</v>
      </c>
      <c r="F27" s="59"/>
      <c r="G27" s="56">
        <f>SUM(G24:G26)</f>
        <v>4.1326358574440096</v>
      </c>
      <c r="H27" s="57">
        <f>E27+F27+G27</f>
        <v>1385.526635857444</v>
      </c>
      <c r="I27" s="57"/>
      <c r="J27" s="57">
        <f>SUM(J24:J26)</f>
        <v>536.4615</v>
      </c>
      <c r="K27" s="60">
        <f>M27-L27-J27</f>
        <v>4.005935359597629</v>
      </c>
      <c r="L27" s="56">
        <f>SUM(L24:L26)</f>
        <v>320.51820049784635</v>
      </c>
      <c r="M27" s="56">
        <f>H27-N27</f>
        <v>860.98563585744398</v>
      </c>
      <c r="N27" s="57">
        <v>524.54100000000005</v>
      </c>
    </row>
    <row r="28" spans="1:14" ht="16.5" customHeight="1" x14ac:dyDescent="0.3">
      <c r="A28" s="35" t="s">
        <v>3</v>
      </c>
      <c r="B28" s="128"/>
      <c r="C28" s="128"/>
      <c r="D28" s="128"/>
      <c r="E28" s="53"/>
      <c r="F28" s="55">
        <f>F15</f>
        <v>3551.9079999999999</v>
      </c>
      <c r="G28" s="56">
        <f>G15+G19+G23+G27</f>
        <v>15.399722739414511</v>
      </c>
      <c r="H28" s="57">
        <f>E15+F28+G28</f>
        <v>4476.3597227394148</v>
      </c>
      <c r="I28" s="128"/>
      <c r="J28" s="57">
        <f>J15+J19+J23+J27</f>
        <v>2164.5542333333333</v>
      </c>
      <c r="K28" s="60">
        <f>K15+K19+K23+K27</f>
        <v>105.24171692492666</v>
      </c>
      <c r="L28" s="56">
        <f>L15+L19+L23+L27</f>
        <v>1682.0227724811543</v>
      </c>
      <c r="M28" s="56">
        <f>M15+M19+M23+M27</f>
        <v>3951.8187227394142</v>
      </c>
      <c r="N28" s="57"/>
    </row>
    <row r="29" spans="1:14" ht="16.5" customHeight="1" x14ac:dyDescent="0.3">
      <c r="A29" s="35"/>
      <c r="B29" s="128"/>
      <c r="C29" s="128"/>
      <c r="D29" s="128"/>
      <c r="E29" s="53"/>
      <c r="F29" s="55"/>
      <c r="G29" s="56"/>
      <c r="H29" s="57"/>
      <c r="I29" s="128"/>
      <c r="J29" s="57"/>
      <c r="K29" s="60"/>
      <c r="L29" s="56"/>
      <c r="M29" s="56"/>
      <c r="N29" s="57"/>
    </row>
    <row r="30" spans="1:14" ht="16.5" customHeight="1" x14ac:dyDescent="0.3">
      <c r="A30" s="35" t="s">
        <v>168</v>
      </c>
      <c r="B30" s="128"/>
      <c r="C30" s="128"/>
      <c r="D30" s="128"/>
      <c r="E30" s="53"/>
      <c r="F30" s="55"/>
      <c r="G30" s="56"/>
      <c r="H30" s="57"/>
      <c r="I30" s="128"/>
      <c r="J30" s="57"/>
      <c r="K30" s="60"/>
      <c r="L30" s="56"/>
      <c r="M30" s="56"/>
      <c r="N30" s="57"/>
    </row>
    <row r="31" spans="1:14" ht="16.5" customHeight="1" x14ac:dyDescent="0.3">
      <c r="A31" s="38" t="s">
        <v>92</v>
      </c>
      <c r="B31" s="128"/>
      <c r="C31" s="128"/>
      <c r="D31" s="128"/>
      <c r="E31" s="53"/>
      <c r="F31" s="55"/>
      <c r="G31" s="56">
        <f>(0.991907+40.308831+3.223895)*2.204622/60</f>
        <v>1.6359997575620999</v>
      </c>
      <c r="I31" s="128"/>
      <c r="J31" s="57">
        <f>5.131665*2000/60</f>
        <v>171.05549999999999</v>
      </c>
      <c r="K31" s="58"/>
      <c r="L31" s="56">
        <f>(34.30443+7142.853)*2.204622/60</f>
        <v>263.71531946069103</v>
      </c>
      <c r="M31" s="56"/>
      <c r="N31" s="57"/>
    </row>
    <row r="32" spans="1:14" ht="16.5" customHeight="1" x14ac:dyDescent="0.3">
      <c r="A32" s="38" t="s">
        <v>97</v>
      </c>
      <c r="B32" s="128"/>
      <c r="C32" s="128"/>
      <c r="D32" s="128"/>
      <c r="E32" s="146"/>
      <c r="F32" s="55"/>
      <c r="G32" s="56">
        <f>(2.771319+17.330953+4.808326)*2.204622/60</f>
        <v>0.91530753973260004</v>
      </c>
      <c r="I32" s="128"/>
      <c r="J32" s="57">
        <f>5.897079*2000/60</f>
        <v>196.5693</v>
      </c>
      <c r="K32" s="58"/>
      <c r="L32" s="56">
        <f>(44.27145+11528.604)*2.204622/60</f>
        <v>425.23026367216499</v>
      </c>
      <c r="M32" s="56"/>
      <c r="N32" s="57"/>
    </row>
    <row r="33" spans="1:73" ht="16.5" customHeight="1" x14ac:dyDescent="0.3">
      <c r="A33" s="38" t="s">
        <v>99</v>
      </c>
      <c r="B33" s="128"/>
      <c r="C33" s="128"/>
      <c r="D33" s="128"/>
      <c r="E33" s="146"/>
      <c r="F33" s="55"/>
      <c r="G33" s="56">
        <f>(3.096115+4.442072+4.893559)*2.204622/60</f>
        <v>0.45678834550020003</v>
      </c>
      <c r="I33" s="128"/>
      <c r="J33" s="57">
        <f>5.731207*2000/60</f>
        <v>191.04023333333333</v>
      </c>
      <c r="K33" s="58"/>
      <c r="L33" s="56">
        <f>(47.735577+11048.716)*2.204622/60</f>
        <v>407.7246878098149</v>
      </c>
      <c r="M33" s="56"/>
      <c r="N33" s="57"/>
    </row>
    <row r="34" spans="1:73" ht="16.5" customHeight="1" x14ac:dyDescent="0.3">
      <c r="A34" s="38" t="s">
        <v>71</v>
      </c>
      <c r="B34" s="128"/>
      <c r="C34" s="128"/>
      <c r="D34" s="128"/>
      <c r="E34" s="53">
        <f>N27</f>
        <v>524.54100000000005</v>
      </c>
      <c r="F34" s="55">
        <v>4135.4769999999999</v>
      </c>
      <c r="G34" s="56">
        <f>G31+G32+G33</f>
        <v>3.0080956427948999</v>
      </c>
      <c r="H34" s="57">
        <f>E34+F34+G34</f>
        <v>4663.0260956427946</v>
      </c>
      <c r="I34" s="128"/>
      <c r="J34" s="57">
        <f>J31+J32+J33</f>
        <v>558.66503333333333</v>
      </c>
      <c r="K34" s="58">
        <f>M34-L34-J34</f>
        <v>74.368791366790333</v>
      </c>
      <c r="L34" s="56">
        <f>L31+L32+L33</f>
        <v>1096.6702709426709</v>
      </c>
      <c r="M34" s="56">
        <f>H34-N34</f>
        <v>1729.7040956427945</v>
      </c>
      <c r="N34" s="57">
        <v>2933.3220000000001</v>
      </c>
    </row>
    <row r="35" spans="1:73" ht="16.5" customHeight="1" x14ac:dyDescent="0.3">
      <c r="A35" s="35" t="s">
        <v>52</v>
      </c>
      <c r="B35" s="128"/>
      <c r="C35" s="128"/>
      <c r="D35" s="128"/>
      <c r="E35" s="53"/>
      <c r="F35" s="56"/>
      <c r="G35" s="56">
        <f>(2.581799+15.016846+5.826621)*2.204622/60</f>
        <v>0.86073094632419989</v>
      </c>
      <c r="H35" s="57"/>
      <c r="I35" s="128"/>
      <c r="J35" s="57">
        <f>5.812997*2000/60</f>
        <v>193.76656666666668</v>
      </c>
      <c r="K35" s="58"/>
      <c r="L35" s="56">
        <f>(53.015482+10764.676)*2.204622/60</f>
        <v>397.48201050716341</v>
      </c>
      <c r="M35" s="56"/>
      <c r="N35" s="57"/>
    </row>
    <row r="36" spans="1:73" ht="16.5" customHeight="1" x14ac:dyDescent="0.3">
      <c r="A36" s="34" t="s">
        <v>169</v>
      </c>
      <c r="B36" s="122"/>
      <c r="C36" s="122"/>
      <c r="D36" s="122"/>
      <c r="E36" s="158"/>
      <c r="F36" s="159">
        <f>F34</f>
        <v>4135.4769999999999</v>
      </c>
      <c r="G36" s="62">
        <f>G34+G35</f>
        <v>3.8688265891190996</v>
      </c>
      <c r="H36" s="123">
        <f>E34+F36+G36</f>
        <v>4663.8868265891188</v>
      </c>
      <c r="I36" s="122"/>
      <c r="J36" s="123">
        <f>J34+J35</f>
        <v>752.4316</v>
      </c>
      <c r="K36" s="161"/>
      <c r="L36" s="62">
        <f>L34+L35</f>
        <v>1494.1522814498344</v>
      </c>
      <c r="M36" s="62"/>
      <c r="N36" s="163"/>
    </row>
    <row r="37" spans="1:73" ht="16.5" customHeight="1" x14ac:dyDescent="0.3">
      <c r="A37" s="63" t="s">
        <v>153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64"/>
      <c r="M37" s="38"/>
      <c r="N37" s="38"/>
    </row>
    <row r="38" spans="1:73" ht="16.5" customHeight="1" x14ac:dyDescent="0.35">
      <c r="A38" s="35" t="s">
        <v>163</v>
      </c>
      <c r="B38" s="35"/>
      <c r="C38" s="35"/>
      <c r="D38" s="35"/>
      <c r="E38" s="65"/>
      <c r="F38" s="65"/>
      <c r="G38" s="65"/>
      <c r="H38" s="65"/>
      <c r="I38" s="65"/>
      <c r="J38" s="65"/>
      <c r="K38" s="65"/>
      <c r="L38" s="65"/>
      <c r="M38" s="65"/>
      <c r="N38" s="65"/>
    </row>
    <row r="39" spans="1:73" ht="16.5" customHeight="1" x14ac:dyDescent="0.35">
      <c r="A39" s="66" t="s">
        <v>69</v>
      </c>
      <c r="B39" s="35"/>
      <c r="C39" s="35"/>
      <c r="D39" s="3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</row>
    <row r="40" spans="1:73" ht="16.5" customHeight="1" x14ac:dyDescent="0.3">
      <c r="A40" s="39" t="s">
        <v>20</v>
      </c>
      <c r="B40" s="67">
        <f ca="1">NOW()</f>
        <v>44237.660999884261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</row>
    <row r="41" spans="1:73" x14ac:dyDescent="0.25"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</row>
    <row r="42" spans="1:73" x14ac:dyDescent="0.25"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</row>
    <row r="43" spans="1:73" x14ac:dyDescent="0.25"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</row>
    <row r="44" spans="1:73" x14ac:dyDescent="0.25">
      <c r="F44" s="15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</row>
    <row r="45" spans="1:73" x14ac:dyDescent="0.25"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1:73" x14ac:dyDescent="0.25"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x14ac:dyDescent="0.25"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5"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15:73" x14ac:dyDescent="0.25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15:73" x14ac:dyDescent="0.25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5:73" x14ac:dyDescent="0.25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5:73" x14ac:dyDescent="0.25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5:73" x14ac:dyDescent="0.25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5:73" x14ac:dyDescent="0.25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5:73" x14ac:dyDescent="0.25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5:73" x14ac:dyDescent="0.25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5:73" x14ac:dyDescent="0.25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5:73" x14ac:dyDescent="0.25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5:73" x14ac:dyDescent="0.25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5:73" x14ac:dyDescent="0.25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5:73" x14ac:dyDescent="0.25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5:73" x14ac:dyDescent="0.25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5:73" x14ac:dyDescent="0.25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5:73" x14ac:dyDescent="0.25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5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5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5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5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5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5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5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5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5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5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5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5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5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5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5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5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5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5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5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5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5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5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5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5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5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5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5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5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5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5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5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5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5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5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5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5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5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5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5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5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5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5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5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5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5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5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5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5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5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5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5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5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5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5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5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5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5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5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5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5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5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5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5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5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5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5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5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5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5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5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5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5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5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5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5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5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5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5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5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5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5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5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5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5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5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5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5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5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5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5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5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5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5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5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5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5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5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5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5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5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5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5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5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5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5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5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5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5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5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5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5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5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5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5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5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5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5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5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5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5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5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5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5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5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5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5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5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5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5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5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5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5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5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5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5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5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5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5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5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5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5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5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5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5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5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5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5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5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5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5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5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5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5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5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5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5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5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5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5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5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5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5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5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5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5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5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5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5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5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5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5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5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5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5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5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5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5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5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5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5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5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5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5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5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5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5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5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5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5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5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5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5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5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5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5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5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5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5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5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5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5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5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5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5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5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5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5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5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5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5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5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5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5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5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5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5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5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5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5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5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5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5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5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5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5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5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5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5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5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5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5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5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5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5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5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5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5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5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5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5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5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5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5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5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5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5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5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5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5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5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5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5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5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5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5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5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5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5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5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5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5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5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5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5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5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5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5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5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5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5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5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5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5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5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5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5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5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5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5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5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5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5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5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5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5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5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5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5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5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5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5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5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5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5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5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5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5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5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5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5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5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5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5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5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5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5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5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5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5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5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5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5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5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5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5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5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5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5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5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5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5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5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5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5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5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5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5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5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5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5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5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5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5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5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5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5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5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5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5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5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5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5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5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5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5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5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5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5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5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5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5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5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5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5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5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5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5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5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5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5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5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5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5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5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5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5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5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5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5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5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5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5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5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5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5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5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5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5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5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5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5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5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5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5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5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5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5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5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5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5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5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5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5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5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5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5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5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5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5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5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5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5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5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5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5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5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5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5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5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5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5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5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5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5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5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5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5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5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5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5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5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5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5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5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5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5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5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5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5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5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5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5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5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5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5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5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5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5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5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5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5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5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5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5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5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5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5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5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5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5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5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5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5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5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5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5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5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5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5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5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5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5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5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5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5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5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5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5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5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5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5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5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5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</sheetData>
  <dataConsolidate link="1"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6:K7 K15 K19 K23 K27 K3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38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7265625" customWidth="1"/>
    <col min="3" max="3" width="10.7265625" customWidth="1"/>
    <col min="4" max="4" width="7.7265625" customWidth="1"/>
    <col min="5" max="5" width="10.7265625" customWidth="1"/>
    <col min="6" max="6" width="1.7265625" customWidth="1"/>
    <col min="7" max="10" width="10.7265625" customWidth="1"/>
    <col min="11" max="11" width="7.7265625" customWidth="1"/>
  </cols>
  <sheetData>
    <row r="1" spans="1:12" ht="14" x14ac:dyDescent="0.3">
      <c r="A1" s="34" t="s">
        <v>147</v>
      </c>
      <c r="B1" s="34"/>
      <c r="C1" s="34"/>
      <c r="D1" s="34"/>
      <c r="E1" s="34"/>
      <c r="F1" s="34"/>
      <c r="G1" s="34"/>
      <c r="H1" s="34"/>
      <c r="I1" s="34"/>
      <c r="J1" s="34"/>
    </row>
    <row r="2" spans="1:12" ht="14" x14ac:dyDescent="0.3">
      <c r="A2" s="35"/>
      <c r="B2" s="169" t="s">
        <v>0</v>
      </c>
      <c r="C2" s="169"/>
      <c r="D2" s="169"/>
      <c r="E2" s="169"/>
      <c r="F2" s="38"/>
      <c r="G2" s="169" t="s">
        <v>19</v>
      </c>
      <c r="H2" s="169"/>
      <c r="I2" s="169"/>
      <c r="J2" s="35"/>
    </row>
    <row r="3" spans="1:12" ht="14" x14ac:dyDescent="0.3">
      <c r="A3" s="35" t="s">
        <v>74</v>
      </c>
      <c r="B3" s="37" t="s">
        <v>8</v>
      </c>
      <c r="C3" s="39"/>
      <c r="D3" s="39"/>
      <c r="E3" s="39"/>
      <c r="F3" s="39"/>
      <c r="G3" s="39"/>
      <c r="H3" s="39"/>
      <c r="I3" s="39"/>
      <c r="J3" s="37" t="s">
        <v>28</v>
      </c>
    </row>
    <row r="4" spans="1:12" ht="14" x14ac:dyDescent="0.3">
      <c r="A4" s="40" t="s">
        <v>75</v>
      </c>
      <c r="B4" s="42" t="s">
        <v>27</v>
      </c>
      <c r="C4" s="42" t="s">
        <v>1</v>
      </c>
      <c r="D4" s="42" t="s">
        <v>2</v>
      </c>
      <c r="E4" s="44" t="s">
        <v>26</v>
      </c>
      <c r="F4" s="43"/>
      <c r="G4" s="42" t="s">
        <v>29</v>
      </c>
      <c r="H4" s="42" t="s">
        <v>25</v>
      </c>
      <c r="I4" s="42" t="s">
        <v>26</v>
      </c>
      <c r="J4" s="42" t="s">
        <v>85</v>
      </c>
    </row>
    <row r="5" spans="1:12" ht="14.5" x14ac:dyDescent="0.35">
      <c r="A5" s="35"/>
      <c r="B5" s="170" t="s">
        <v>93</v>
      </c>
      <c r="C5" s="170"/>
      <c r="D5" s="170"/>
      <c r="E5" s="170"/>
      <c r="F5" s="170"/>
      <c r="G5" s="170"/>
      <c r="H5" s="170"/>
      <c r="I5" s="170"/>
      <c r="J5" s="170"/>
    </row>
    <row r="6" spans="1:12" ht="16.5" x14ac:dyDescent="0.3">
      <c r="A6" s="35" t="s">
        <v>140</v>
      </c>
      <c r="B6" s="68">
        <v>555.42399999999998</v>
      </c>
      <c r="C6" s="69">
        <v>48813.759999999995</v>
      </c>
      <c r="D6" s="69">
        <v>683.345988757908</v>
      </c>
      <c r="E6" s="49">
        <f>SUM(B6:D6)</f>
        <v>50052.529988757902</v>
      </c>
      <c r="F6" s="69"/>
      <c r="G6" s="69">
        <f>I6-H6</f>
        <v>36212.450812999567</v>
      </c>
      <c r="H6" s="69">
        <v>13438.064175758334</v>
      </c>
      <c r="I6" s="69">
        <f>E6-J6</f>
        <v>49650.514988757903</v>
      </c>
      <c r="J6" s="69">
        <v>402.01499999999999</v>
      </c>
    </row>
    <row r="7" spans="1:12" ht="16.5" x14ac:dyDescent="0.3">
      <c r="A7" s="35" t="s">
        <v>144</v>
      </c>
      <c r="B7" s="68">
        <f>J6</f>
        <v>402.01499999999999</v>
      </c>
      <c r="C7" s="69">
        <f>C23</f>
        <v>51100.43</v>
      </c>
      <c r="D7" s="69">
        <f>D23</f>
        <v>639.279164260926</v>
      </c>
      <c r="E7" s="49">
        <f>SUM(B7:D7)</f>
        <v>52141.724164260922</v>
      </c>
      <c r="F7" s="69"/>
      <c r="G7" s="69">
        <f>I7-H7</f>
        <v>37723.484000376411</v>
      </c>
      <c r="H7" s="69">
        <f>H23</f>
        <v>14076.904163884506</v>
      </c>
      <c r="I7" s="69">
        <f>E7-J7</f>
        <v>51800.388164260919</v>
      </c>
      <c r="J7" s="69">
        <f>J22</f>
        <v>341.33600000000001</v>
      </c>
    </row>
    <row r="8" spans="1:12" ht="16.5" x14ac:dyDescent="0.3">
      <c r="A8" s="35" t="s">
        <v>156</v>
      </c>
      <c r="B8" s="68">
        <f>J7</f>
        <v>341.33600000000001</v>
      </c>
      <c r="C8" s="69">
        <v>51959</v>
      </c>
      <c r="D8" s="69">
        <v>600</v>
      </c>
      <c r="E8" s="49">
        <f>SUM(B8:D8)</f>
        <v>52900.336000000003</v>
      </c>
      <c r="F8" s="69"/>
      <c r="G8" s="69">
        <f>I8-H8</f>
        <v>38300.336000000003</v>
      </c>
      <c r="H8" s="69">
        <v>14250</v>
      </c>
      <c r="I8" s="69">
        <f>E8-J8</f>
        <v>52550.336000000003</v>
      </c>
      <c r="J8" s="69">
        <v>350</v>
      </c>
    </row>
    <row r="9" spans="1:12" ht="14" x14ac:dyDescent="0.3">
      <c r="A9" s="35"/>
      <c r="B9" s="70"/>
      <c r="C9" s="70"/>
      <c r="D9" s="70"/>
      <c r="E9" s="70"/>
      <c r="F9" s="70"/>
      <c r="G9" s="69"/>
      <c r="H9" s="70"/>
      <c r="I9" s="70"/>
      <c r="J9" s="70"/>
    </row>
    <row r="10" spans="1:12" ht="15.5" x14ac:dyDescent="0.35">
      <c r="A10" s="38" t="s">
        <v>145</v>
      </c>
      <c r="B10" s="72"/>
      <c r="C10" s="56"/>
      <c r="D10" s="56"/>
      <c r="E10" s="56"/>
      <c r="F10" s="56"/>
      <c r="G10" s="56"/>
      <c r="H10" s="56"/>
      <c r="I10" s="56"/>
      <c r="J10" s="56"/>
      <c r="K10" s="19"/>
      <c r="L10" s="19"/>
    </row>
    <row r="11" spans="1:12" ht="15.5" x14ac:dyDescent="0.35">
      <c r="A11" s="38" t="s">
        <v>50</v>
      </c>
      <c r="B11" s="72">
        <f>360.387+41.628</f>
        <v>402.01499999999999</v>
      </c>
      <c r="C11" s="56">
        <f>4105.453+276.379</f>
        <v>4381.8320000000003</v>
      </c>
      <c r="D11" s="56">
        <f>(34717.207+8327+125.964+103.856)*2.204622/2000</f>
        <v>47.701435976397008</v>
      </c>
      <c r="E11" s="56">
        <f>SUM(B11:D11)</f>
        <v>4831.5484359763977</v>
      </c>
      <c r="F11" s="71"/>
      <c r="G11" s="73">
        <f t="shared" ref="G11:G22" si="0">I11-H11</f>
        <v>3326.9284705422137</v>
      </c>
      <c r="H11" s="73">
        <f>((785.683617+14.393+233.530927))*(2.204622/2)</f>
        <v>1139.3569654341841</v>
      </c>
      <c r="I11" s="71">
        <f t="shared" ref="I11:I22" si="1">E11-J11</f>
        <v>4466.2854359763978</v>
      </c>
      <c r="J11" s="73">
        <f>335.087+30.176</f>
        <v>365.26299999999998</v>
      </c>
      <c r="K11" s="19"/>
      <c r="L11" s="19"/>
    </row>
    <row r="12" spans="1:12" ht="15.5" x14ac:dyDescent="0.35">
      <c r="A12" s="38" t="s">
        <v>51</v>
      </c>
      <c r="B12" s="72">
        <f t="shared" ref="B12:B22" si="2">J11</f>
        <v>365.26299999999998</v>
      </c>
      <c r="C12" s="56">
        <f>3855.827+255.945</f>
        <v>4111.7719999999999</v>
      </c>
      <c r="D12" s="56">
        <f>(29823.451+2961+130.165+90.108)*2.204622/2000</f>
        <v>36.381470317164009</v>
      </c>
      <c r="E12" s="56">
        <f t="shared" ref="E12:E18" si="3">SUM(B12:D12)</f>
        <v>4513.4164703171637</v>
      </c>
      <c r="F12" s="56"/>
      <c r="G12" s="73">
        <f t="shared" si="0"/>
        <v>2798.9963823138437</v>
      </c>
      <c r="H12" s="73">
        <f>((866.134196+3.458+261.673924))*(2.204622/2)</f>
        <v>1247.00708800332</v>
      </c>
      <c r="I12" s="71">
        <f t="shared" si="1"/>
        <v>4046.0034703171636</v>
      </c>
      <c r="J12" s="56">
        <f>426.332+41.081</f>
        <v>467.41300000000001</v>
      </c>
      <c r="K12" s="19"/>
      <c r="L12" s="19"/>
    </row>
    <row r="13" spans="1:12" ht="15.5" x14ac:dyDescent="0.35">
      <c r="A13" s="38" t="s">
        <v>52</v>
      </c>
      <c r="B13" s="72">
        <f t="shared" si="2"/>
        <v>467.41300000000001</v>
      </c>
      <c r="C13" s="56">
        <f>4062.929+274.643</f>
        <v>4337.5720000000001</v>
      </c>
      <c r="D13" s="56">
        <f>(33710.056+13585+182.009+72.517)*2.204622/2000</f>
        <v>52.414427284001995</v>
      </c>
      <c r="E13" s="56">
        <f t="shared" si="3"/>
        <v>4857.3994272840027</v>
      </c>
      <c r="F13" s="56"/>
      <c r="G13" s="73">
        <f t="shared" si="0"/>
        <v>3384.5441774417495</v>
      </c>
      <c r="H13" s="73">
        <f>((764.679901+9.721+219.677222))*(2.204622/2)</f>
        <v>1095.7832498422531</v>
      </c>
      <c r="I13" s="71">
        <f t="shared" si="1"/>
        <v>4480.3274272840026</v>
      </c>
      <c r="J13" s="56">
        <f>342.085+34.987</f>
        <v>377.072</v>
      </c>
      <c r="K13" s="19"/>
      <c r="L13" s="19"/>
    </row>
    <row r="14" spans="1:12" ht="15.5" x14ac:dyDescent="0.35">
      <c r="A14" s="38" t="s">
        <v>53</v>
      </c>
      <c r="B14" s="72">
        <f t="shared" si="2"/>
        <v>377.072</v>
      </c>
      <c r="C14" s="56">
        <f>4144.355+281.394</f>
        <v>4425.7489999999998</v>
      </c>
      <c r="D14" s="56">
        <f>(50090.882+4913+179.878+155.261)*2.204622/2000</f>
        <v>61.000811577530996</v>
      </c>
      <c r="E14" s="56">
        <f t="shared" si="3"/>
        <v>4863.8218115775308</v>
      </c>
      <c r="F14" s="56"/>
      <c r="G14" s="73">
        <f t="shared" si="0"/>
        <v>3435.4339578735735</v>
      </c>
      <c r="H14" s="73">
        <f>((709.103359+18.259+255.531628))*(2.204622/2)</f>
        <v>1083.454853703957</v>
      </c>
      <c r="I14" s="71">
        <f t="shared" si="1"/>
        <v>4518.8888115775308</v>
      </c>
      <c r="J14" s="56">
        <f>302.321+42.612</f>
        <v>344.93300000000005</v>
      </c>
      <c r="K14" s="19"/>
      <c r="L14" s="19"/>
    </row>
    <row r="15" spans="1:12" ht="15.5" x14ac:dyDescent="0.35">
      <c r="A15" s="38" t="s">
        <v>54</v>
      </c>
      <c r="B15" s="72">
        <f t="shared" si="2"/>
        <v>344.93300000000005</v>
      </c>
      <c r="C15" s="56">
        <f>3863.475+259.153</f>
        <v>4122.6279999999997</v>
      </c>
      <c r="D15" s="56">
        <f>(41456.755+3685+293.02+207.359)*2.204622/2000</f>
        <v>50.311826371673988</v>
      </c>
      <c r="E15" s="56">
        <f t="shared" si="3"/>
        <v>4517.8728263716739</v>
      </c>
      <c r="F15" s="56"/>
      <c r="G15" s="73">
        <f t="shared" si="0"/>
        <v>2687.3697811372549</v>
      </c>
      <c r="H15" s="73">
        <f>((1026.306442+5.115+227.891987))*(2.204622/2)</f>
        <v>1388.155045234419</v>
      </c>
      <c r="I15" s="71">
        <f t="shared" si="1"/>
        <v>4075.524826371674</v>
      </c>
      <c r="J15" s="56">
        <f>396.511+45.837</f>
        <v>442.34800000000001</v>
      </c>
      <c r="K15" s="19"/>
      <c r="L15" s="19"/>
    </row>
    <row r="16" spans="1:12" ht="15.5" x14ac:dyDescent="0.35">
      <c r="A16" s="38" t="s">
        <v>55</v>
      </c>
      <c r="B16" s="72">
        <f t="shared" si="2"/>
        <v>442.34800000000001</v>
      </c>
      <c r="C16" s="56">
        <f>4234.605+283.308</f>
        <v>4517.9129999999996</v>
      </c>
      <c r="D16" s="56">
        <f>(52975.114+4417+49.514+310.515)*2.204622/2000</f>
        <v>63.660822502473003</v>
      </c>
      <c r="E16" s="56">
        <f t="shared" si="3"/>
        <v>5023.9218225024724</v>
      </c>
      <c r="F16" s="56"/>
      <c r="G16" s="73">
        <f t="shared" si="0"/>
        <v>3277.7267723843088</v>
      </c>
      <c r="H16" s="73">
        <f>((966.396996+5.084+236.114728))*(2.204622/2)</f>
        <v>1331.1460501181639</v>
      </c>
      <c r="I16" s="71">
        <f t="shared" si="1"/>
        <v>4608.8728225024724</v>
      </c>
      <c r="J16" s="56">
        <f>368.552+46.497</f>
        <v>415.04900000000004</v>
      </c>
      <c r="K16" s="19"/>
      <c r="L16" s="19"/>
    </row>
    <row r="17" spans="1:12" ht="15.5" x14ac:dyDescent="0.35">
      <c r="A17" s="38" t="s">
        <v>56</v>
      </c>
      <c r="B17" s="72">
        <f t="shared" si="2"/>
        <v>415.04900000000004</v>
      </c>
      <c r="C17" s="56">
        <f>4039.265+272.912</f>
        <v>4312.1769999999997</v>
      </c>
      <c r="D17" s="56">
        <f>(43596.712+4455+129.156+140.58)*2.204622/2000</f>
        <v>53.265263666328003</v>
      </c>
      <c r="E17" s="56">
        <f t="shared" si="3"/>
        <v>4780.4912636663275</v>
      </c>
      <c r="F17" s="56"/>
      <c r="G17" s="73">
        <f t="shared" si="0"/>
        <v>3177.7169864129364</v>
      </c>
      <c r="H17" s="73">
        <f>((860.759415+13.997+228.907866))*(2.204622/2)</f>
        <v>1216.5812772533909</v>
      </c>
      <c r="I17" s="71">
        <f t="shared" si="1"/>
        <v>4394.2982636663273</v>
      </c>
      <c r="J17" s="56">
        <f>341.681+44.512</f>
        <v>386.19299999999998</v>
      </c>
      <c r="K17" s="19"/>
      <c r="L17" s="19"/>
    </row>
    <row r="18" spans="1:12" ht="15.5" x14ac:dyDescent="0.35">
      <c r="A18" s="38" t="s">
        <v>57</v>
      </c>
      <c r="B18" s="72">
        <f t="shared" si="2"/>
        <v>386.19299999999998</v>
      </c>
      <c r="C18" s="56">
        <f>3970.047+270.933</f>
        <v>4240.9799999999996</v>
      </c>
      <c r="D18" s="56">
        <f>(37305.065+3502+57.044+184.091)*2.204622/2000</f>
        <v>45.247882390200004</v>
      </c>
      <c r="E18" s="56">
        <f t="shared" si="3"/>
        <v>4672.4208823901999</v>
      </c>
      <c r="F18" s="56"/>
      <c r="G18" s="73">
        <f t="shared" si="0"/>
        <v>3079.8223548584401</v>
      </c>
      <c r="H18" s="73">
        <f>((740.918471+16.721+235.502689))*(2.204622/2)</f>
        <v>1094.7515275317601</v>
      </c>
      <c r="I18" s="71">
        <f t="shared" si="1"/>
        <v>4174.5738823902002</v>
      </c>
      <c r="J18" s="56">
        <f>442.173+55.674</f>
        <v>497.84699999999998</v>
      </c>
      <c r="K18" s="19"/>
      <c r="L18" s="19"/>
    </row>
    <row r="19" spans="1:12" ht="15.5" x14ac:dyDescent="0.35">
      <c r="A19" s="38" t="s">
        <v>58</v>
      </c>
      <c r="B19" s="72">
        <f t="shared" si="2"/>
        <v>497.84699999999998</v>
      </c>
      <c r="C19" s="56">
        <f>3904.725+262.751</f>
        <v>4167.4759999999997</v>
      </c>
      <c r="D19" s="56">
        <f>(33413.436+2627+130.744+121.582)*2.204622/2000</f>
        <v>40.005910772982006</v>
      </c>
      <c r="E19" s="56">
        <f>SUM(B19:D19)</f>
        <v>4705.3289107729815</v>
      </c>
      <c r="F19" s="56"/>
      <c r="G19" s="73">
        <f t="shared" si="0"/>
        <v>3062.0751743096025</v>
      </c>
      <c r="H19" s="73">
        <f>((823.744033+10.41+237.186756))*(2.204622/2)</f>
        <v>1180.9507364633789</v>
      </c>
      <c r="I19" s="71">
        <f t="shared" si="1"/>
        <v>4243.0259107729817</v>
      </c>
      <c r="J19" s="56">
        <f>420.426+41.877</f>
        <v>462.303</v>
      </c>
      <c r="K19" s="19"/>
      <c r="L19" s="19"/>
    </row>
    <row r="20" spans="1:12" ht="15.5" x14ac:dyDescent="0.35">
      <c r="A20" s="38" t="s">
        <v>60</v>
      </c>
      <c r="B20" s="72">
        <f t="shared" si="2"/>
        <v>462.303</v>
      </c>
      <c r="C20" s="56">
        <f>4080.746+280.424</f>
        <v>4361.17</v>
      </c>
      <c r="D20" s="56">
        <f>(47678.67+3348+387.614+915.017)*2.204622/2000</f>
        <v>57.683164114611003</v>
      </c>
      <c r="E20" s="56">
        <f>SUM(B20:D20)</f>
        <v>4881.1561641146109</v>
      </c>
      <c r="F20" s="56"/>
      <c r="G20" s="73">
        <f t="shared" si="0"/>
        <v>3284.6331330738053</v>
      </c>
      <c r="H20" s="73">
        <f>((790.336731+7.915+241.385024))*(2.204622/2)</f>
        <v>1146.0030310408051</v>
      </c>
      <c r="I20" s="71">
        <f t="shared" si="1"/>
        <v>4430.6361641146104</v>
      </c>
      <c r="J20" s="56">
        <f>411.925+38.595</f>
        <v>450.52</v>
      </c>
      <c r="K20" s="19"/>
      <c r="L20" s="19"/>
    </row>
    <row r="21" spans="1:12" ht="15.5" x14ac:dyDescent="0.35">
      <c r="A21" s="38" t="s">
        <v>61</v>
      </c>
      <c r="B21" s="72">
        <f t="shared" si="2"/>
        <v>450.52</v>
      </c>
      <c r="C21" s="56">
        <f>3851.205+260.54</f>
        <v>4111.7449999999999</v>
      </c>
      <c r="D21" s="56">
        <f>(45234.399+8392+185.404+1077.226)*2.204622/2000</f>
        <v>60.504780446019005</v>
      </c>
      <c r="E21" s="56">
        <f>SUM(B21:D21)</f>
        <v>4622.7697804460186</v>
      </c>
      <c r="F21" s="56"/>
      <c r="G21" s="73">
        <f t="shared" si="0"/>
        <v>3106.233034962208</v>
      </c>
      <c r="H21" s="73">
        <f>((748.764091+13.463+231.53941))*(2.204622/2)</f>
        <v>1095.4397454838111</v>
      </c>
      <c r="I21" s="71">
        <f t="shared" si="1"/>
        <v>4201.6727804460188</v>
      </c>
      <c r="J21" s="56">
        <f>388.138+32.959</f>
        <v>421.09699999999998</v>
      </c>
      <c r="K21" s="19"/>
      <c r="L21" s="19"/>
    </row>
    <row r="22" spans="1:12" ht="15.5" x14ac:dyDescent="0.35">
      <c r="A22" s="38" t="s">
        <v>63</v>
      </c>
      <c r="B22" s="72">
        <f t="shared" si="2"/>
        <v>421.09699999999998</v>
      </c>
      <c r="C22" s="56">
        <f>3754.168+255.248</f>
        <v>4009.4160000000002</v>
      </c>
      <c r="D22" s="56">
        <f>(60244.927+3644+284.761+328.407)*2.204622/2000</f>
        <v>71.101368841544996</v>
      </c>
      <c r="E22" s="56">
        <f>SUM(B22:D22)</f>
        <v>4501.614368841545</v>
      </c>
      <c r="F22" s="56"/>
      <c r="G22" s="73">
        <f t="shared" si="0"/>
        <v>3102.0037750664815</v>
      </c>
      <c r="H22" s="73">
        <f>((724.522648+15.008+220.520185))*(2.204622/2)</f>
        <v>1058.2745937750631</v>
      </c>
      <c r="I22" s="71">
        <f t="shared" si="1"/>
        <v>4160.2783688415448</v>
      </c>
      <c r="J22" s="56">
        <f>312.944+28.392</f>
        <v>341.33600000000001</v>
      </c>
      <c r="K22" s="19"/>
      <c r="L22" s="19"/>
    </row>
    <row r="23" spans="1:12" ht="15.5" x14ac:dyDescent="0.35">
      <c r="A23" s="38" t="s">
        <v>3</v>
      </c>
      <c r="B23" s="72"/>
      <c r="C23" s="56">
        <f>SUM(C11:C22)</f>
        <v>51100.43</v>
      </c>
      <c r="D23" s="56">
        <f>SUM(D11:D22)</f>
        <v>639.279164260926</v>
      </c>
      <c r="E23" s="56">
        <f>B11+C23+D23</f>
        <v>52141.724164260922</v>
      </c>
      <c r="F23" s="56"/>
      <c r="G23" s="73">
        <f>SUM(G11:G22)</f>
        <v>37723.484000376426</v>
      </c>
      <c r="H23" s="73">
        <f>SUM(H11:H22)</f>
        <v>14076.904163884506</v>
      </c>
      <c r="I23" s="71">
        <f>SUM(I11:I22)</f>
        <v>51800.388164260919</v>
      </c>
      <c r="J23" s="56"/>
      <c r="K23" s="19"/>
      <c r="L23" s="19"/>
    </row>
    <row r="24" spans="1:12" ht="15.5" x14ac:dyDescent="0.35">
      <c r="A24" s="38"/>
      <c r="B24" s="72"/>
      <c r="C24" s="56"/>
      <c r="D24" s="56"/>
      <c r="E24" s="56"/>
      <c r="F24" s="56"/>
      <c r="G24" s="56"/>
      <c r="H24" s="56"/>
      <c r="I24" s="56"/>
      <c r="J24" s="56"/>
      <c r="K24" s="19"/>
      <c r="L24" s="19"/>
    </row>
    <row r="25" spans="1:12" ht="15.5" x14ac:dyDescent="0.35">
      <c r="A25" s="38" t="s">
        <v>168</v>
      </c>
      <c r="B25" s="72"/>
      <c r="C25" s="56"/>
      <c r="D25" s="56"/>
      <c r="E25" s="56"/>
      <c r="F25" s="56"/>
      <c r="G25" s="56"/>
      <c r="H25" s="56"/>
      <c r="I25" s="56"/>
      <c r="J25" s="56"/>
      <c r="K25" s="19"/>
      <c r="L25" s="19"/>
    </row>
    <row r="26" spans="1:12" ht="15.5" x14ac:dyDescent="0.35">
      <c r="A26" s="38" t="s">
        <v>50</v>
      </c>
      <c r="B26" s="72">
        <f>J22</f>
        <v>341.33600000000001</v>
      </c>
      <c r="C26" s="56">
        <f>4335.054+280.538</f>
        <v>4615.5920000000006</v>
      </c>
      <c r="D26" s="56">
        <f>(58774.377+3828+317.69+198.763)*2.204622/2000</f>
        <v>69.576580616130002</v>
      </c>
      <c r="E26" s="56">
        <f>SUM(B26:D26)</f>
        <v>5026.5045806161306</v>
      </c>
      <c r="F26" s="71"/>
      <c r="G26" s="73">
        <f>I26-H26</f>
        <v>3554.9196279000498</v>
      </c>
      <c r="H26" s="73">
        <f>((722.750436+12.73+260.051635))*(2.204622/2)</f>
        <v>1097.3859527160812</v>
      </c>
      <c r="I26" s="71">
        <f>E26-J26</f>
        <v>4652.305580616131</v>
      </c>
      <c r="J26" s="73">
        <f>342.914+31.285</f>
        <v>374.19900000000001</v>
      </c>
      <c r="K26" s="19"/>
      <c r="L26" s="19"/>
    </row>
    <row r="27" spans="1:12" ht="15.5" x14ac:dyDescent="0.35">
      <c r="A27" s="38" t="s">
        <v>51</v>
      </c>
      <c r="B27" s="72">
        <f>J26</f>
        <v>374.19900000000001</v>
      </c>
      <c r="C27" s="56">
        <f>4230.274+286.02</f>
        <v>4516.2939999999999</v>
      </c>
      <c r="D27" s="56">
        <f>(57728.983+3553+27.687+527.103)*2.204622/2000</f>
        <v>68.163355082403015</v>
      </c>
      <c r="E27" s="56">
        <f>SUM(B27:D27)</f>
        <v>4958.6563550824021</v>
      </c>
      <c r="F27" s="71"/>
      <c r="G27" s="73">
        <f>I27-H27</f>
        <v>3210.4986535649587</v>
      </c>
      <c r="H27" s="73">
        <f>((931.442351+17.111+221.480062))*(2.204622/2)</f>
        <v>1289.7407015174431</v>
      </c>
      <c r="I27" s="71">
        <f>E27-J27</f>
        <v>4500.2393550824017</v>
      </c>
      <c r="J27" s="73">
        <f>415.107+43.31</f>
        <v>458.41700000000003</v>
      </c>
      <c r="K27" s="19"/>
      <c r="L27" s="19"/>
    </row>
    <row r="28" spans="1:12" ht="15.5" x14ac:dyDescent="0.35">
      <c r="A28" s="38" t="s">
        <v>52</v>
      </c>
      <c r="B28" s="72">
        <f>J27</f>
        <v>458.41700000000003</v>
      </c>
      <c r="C28" s="56">
        <f>4269.964+299.006</f>
        <v>4568.97</v>
      </c>
      <c r="D28" s="56">
        <f>(53774.027+4411+151.156+330.376)*2.204622/2000</f>
        <v>64.668793317849008</v>
      </c>
      <c r="E28" s="56">
        <f>SUM(B28:D28)</f>
        <v>5092.0557933178497</v>
      </c>
      <c r="F28" s="71"/>
      <c r="G28" s="73">
        <f>I28-H28</f>
        <v>3253.6208184322322</v>
      </c>
      <c r="H28" s="73">
        <f>((994.759912+10.218+301.881926))*(2.204622/2)</f>
        <v>1440.5659748856178</v>
      </c>
      <c r="I28" s="71">
        <f>E28-J28</f>
        <v>4694.1867933178501</v>
      </c>
      <c r="J28" s="73">
        <f>358.134+39.735</f>
        <v>397.86900000000003</v>
      </c>
      <c r="K28" s="19"/>
      <c r="L28" s="19"/>
    </row>
    <row r="29" spans="1:12" ht="15.5" x14ac:dyDescent="0.35">
      <c r="A29" s="34" t="s">
        <v>169</v>
      </c>
      <c r="B29" s="74"/>
      <c r="C29" s="62">
        <f>SUM(C26:C28)</f>
        <v>13700.856</v>
      </c>
      <c r="D29" s="62">
        <f>SUM(D26:D28)</f>
        <v>202.40872901638204</v>
      </c>
      <c r="E29" s="62">
        <f>B26+C29+D29</f>
        <v>14244.600729016382</v>
      </c>
      <c r="F29" s="62"/>
      <c r="G29" s="62">
        <f t="shared" ref="G29:I29" si="4">SUM(G26:G28)</f>
        <v>10019.03909989724</v>
      </c>
      <c r="H29" s="62">
        <f t="shared" si="4"/>
        <v>3827.6926291191421</v>
      </c>
      <c r="I29" s="62">
        <f t="shared" si="4"/>
        <v>13846.731729016385</v>
      </c>
      <c r="J29" s="62"/>
      <c r="K29" s="19"/>
      <c r="L29" s="19"/>
    </row>
    <row r="30" spans="1:12" ht="17" x14ac:dyDescent="0.35">
      <c r="A30" s="75" t="s">
        <v>154</v>
      </c>
      <c r="B30" s="35"/>
      <c r="C30" s="35"/>
      <c r="D30" s="35"/>
      <c r="E30" s="35"/>
      <c r="F30" s="35"/>
      <c r="G30" s="35"/>
      <c r="H30" s="35"/>
      <c r="I30" s="35"/>
      <c r="J30" s="35"/>
      <c r="K30" s="19"/>
      <c r="L30" s="19"/>
    </row>
    <row r="31" spans="1:12" ht="15.5" x14ac:dyDescent="0.35">
      <c r="A31" s="35" t="s">
        <v>111</v>
      </c>
      <c r="B31" s="35"/>
      <c r="C31" s="35"/>
      <c r="D31" s="35"/>
      <c r="E31" s="35"/>
      <c r="F31" s="35"/>
      <c r="G31" s="35"/>
      <c r="H31" s="35"/>
      <c r="I31" s="35"/>
      <c r="J31" s="35"/>
      <c r="K31" s="19"/>
      <c r="L31" s="19"/>
    </row>
    <row r="32" spans="1:12" ht="15.5" x14ac:dyDescent="0.35">
      <c r="A32" s="39" t="s">
        <v>20</v>
      </c>
      <c r="B32" s="67">
        <f ca="1">NOW()</f>
        <v>44237.660999884261</v>
      </c>
      <c r="C32" s="55"/>
      <c r="D32" s="51"/>
      <c r="E32" s="51"/>
      <c r="F32" s="51"/>
      <c r="G32" s="51"/>
      <c r="H32" s="51"/>
      <c r="I32" s="51"/>
      <c r="J32" s="51"/>
      <c r="K32" s="19"/>
      <c r="L32" s="19"/>
    </row>
    <row r="33" spans="1:12" ht="15.5" x14ac:dyDescent="0.35">
      <c r="A33" s="1"/>
      <c r="B33" s="3"/>
      <c r="C33" s="4"/>
      <c r="D33" s="3"/>
      <c r="E33" s="3"/>
      <c r="F33" s="3"/>
      <c r="G33" s="3"/>
      <c r="H33" s="5"/>
      <c r="I33" s="3"/>
      <c r="J33" s="3"/>
      <c r="K33" s="19"/>
      <c r="L33" s="19"/>
    </row>
    <row r="34" spans="1:12" ht="15.5" x14ac:dyDescent="0.35">
      <c r="A34" s="1"/>
      <c r="B34" s="3"/>
      <c r="C34" s="3"/>
      <c r="D34" s="3"/>
      <c r="E34" s="3"/>
      <c r="F34" s="3"/>
      <c r="G34" s="3"/>
      <c r="H34" s="3"/>
      <c r="I34" s="3"/>
      <c r="J34" s="3"/>
      <c r="K34" s="19"/>
      <c r="L34" s="19"/>
    </row>
    <row r="35" spans="1:12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9"/>
      <c r="L35" s="19"/>
    </row>
    <row r="36" spans="1:12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9"/>
      <c r="L36" s="19"/>
    </row>
    <row r="37" spans="1:12" ht="15.5" x14ac:dyDescent="0.35">
      <c r="K37" s="19"/>
      <c r="L37" s="19"/>
    </row>
    <row r="38" spans="1:12" ht="15.5" x14ac:dyDescent="0.35">
      <c r="K38" s="19"/>
      <c r="L38" s="19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33"/>
  <sheetViews>
    <sheetView showGridLines="0" zoomScaleNormal="100" workbookViewId="0"/>
  </sheetViews>
  <sheetFormatPr defaultRowHeight="12.5" x14ac:dyDescent="0.25"/>
  <cols>
    <col min="1" max="1" width="14.54296875" customWidth="1"/>
    <col min="2" max="2" width="11.7265625" customWidth="1"/>
    <col min="3" max="3" width="10.7265625" customWidth="1"/>
    <col min="4" max="4" width="9.54296875" bestFit="1" customWidth="1"/>
    <col min="5" max="5" width="11.26953125" bestFit="1" customWidth="1"/>
    <col min="6" max="6" width="3.7265625" customWidth="1"/>
    <col min="7" max="7" width="10.7265625" bestFit="1" customWidth="1"/>
    <col min="8" max="8" width="10.7265625" customWidth="1"/>
    <col min="9" max="9" width="12.7265625" customWidth="1"/>
    <col min="10" max="10" width="9.7265625" customWidth="1"/>
    <col min="11" max="11" width="10.7265625" customWidth="1"/>
    <col min="12" max="12" width="10.1796875" bestFit="1" customWidth="1"/>
    <col min="14" max="14" width="9.26953125" bestFit="1" customWidth="1"/>
  </cols>
  <sheetData>
    <row r="1" spans="1:13" ht="14" x14ac:dyDescent="0.3">
      <c r="A1" s="34" t="s">
        <v>148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ht="14" x14ac:dyDescent="0.3">
      <c r="A2" s="35"/>
      <c r="B2" s="169" t="s">
        <v>0</v>
      </c>
      <c r="C2" s="169"/>
      <c r="D2" s="169"/>
      <c r="E2" s="169"/>
      <c r="F2" s="38"/>
      <c r="G2" s="169" t="s">
        <v>19</v>
      </c>
      <c r="H2" s="169"/>
      <c r="I2" s="169"/>
      <c r="J2" s="36"/>
      <c r="K2" s="36"/>
      <c r="L2" s="35"/>
    </row>
    <row r="3" spans="1:13" ht="14" x14ac:dyDescent="0.3">
      <c r="A3" s="35" t="s">
        <v>74</v>
      </c>
      <c r="B3" s="37" t="s">
        <v>30</v>
      </c>
      <c r="C3" s="76" t="s">
        <v>1</v>
      </c>
      <c r="D3" s="76" t="s">
        <v>31</v>
      </c>
      <c r="E3" s="76" t="s">
        <v>26</v>
      </c>
      <c r="F3" s="76"/>
      <c r="G3" s="36" t="s">
        <v>29</v>
      </c>
      <c r="H3" s="36"/>
      <c r="I3" s="36"/>
      <c r="J3" s="76" t="s">
        <v>33</v>
      </c>
      <c r="K3" s="76" t="s">
        <v>26</v>
      </c>
      <c r="L3" s="76" t="s">
        <v>28</v>
      </c>
    </row>
    <row r="4" spans="1:13" ht="14" x14ac:dyDescent="0.3">
      <c r="A4" s="40" t="s">
        <v>75</v>
      </c>
      <c r="B4" s="42" t="s">
        <v>27</v>
      </c>
      <c r="C4" s="43"/>
      <c r="D4" s="43"/>
      <c r="E4" s="43"/>
      <c r="F4" s="43"/>
      <c r="G4" s="42" t="s">
        <v>3</v>
      </c>
      <c r="H4" s="42" t="s">
        <v>86</v>
      </c>
      <c r="I4" s="42" t="s">
        <v>107</v>
      </c>
      <c r="J4" s="43"/>
      <c r="K4" s="43"/>
      <c r="L4" s="76" t="s">
        <v>85</v>
      </c>
    </row>
    <row r="5" spans="1:13" ht="14.5" x14ac:dyDescent="0.35">
      <c r="A5" s="35"/>
      <c r="B5" s="171" t="s">
        <v>98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3" ht="14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3" ht="16.5" x14ac:dyDescent="0.3">
      <c r="A7" s="35" t="s">
        <v>140</v>
      </c>
      <c r="B7" s="70">
        <v>1995.434</v>
      </c>
      <c r="C7" s="70">
        <v>24197.199000000004</v>
      </c>
      <c r="D7" s="70">
        <v>397.26178192360805</v>
      </c>
      <c r="E7" s="70">
        <f>SUM(B7:D7)</f>
        <v>26589.894781923613</v>
      </c>
      <c r="F7" s="70"/>
      <c r="G7" s="70">
        <f>K7-J7</f>
        <v>22873.228761820905</v>
      </c>
      <c r="H7" s="49">
        <v>7863.3000000000011</v>
      </c>
      <c r="I7" s="49">
        <f>G7-H7</f>
        <v>15009.928761820904</v>
      </c>
      <c r="J7" s="70">
        <v>1941.35002010271</v>
      </c>
      <c r="K7" s="70">
        <f>E7-L7</f>
        <v>24814.578781923614</v>
      </c>
      <c r="L7" s="70">
        <v>1775.316</v>
      </c>
      <c r="M7" s="17"/>
    </row>
    <row r="8" spans="1:13" ht="16.5" x14ac:dyDescent="0.3">
      <c r="A8" s="35" t="s">
        <v>144</v>
      </c>
      <c r="B8" s="70">
        <f>L7</f>
        <v>1775.316</v>
      </c>
      <c r="C8" s="70">
        <f>C24</f>
        <v>24911.604000000003</v>
      </c>
      <c r="D8" s="70">
        <f>D24</f>
        <v>319.33808794654203</v>
      </c>
      <c r="E8" s="70">
        <f>SUM(B8:D8)</f>
        <v>27006.258087946542</v>
      </c>
      <c r="F8" s="70"/>
      <c r="G8" s="70">
        <f>K8-J8</f>
        <v>22318.872644261639</v>
      </c>
      <c r="H8" s="49">
        <f>H24</f>
        <v>7857.82</v>
      </c>
      <c r="I8" s="49">
        <f>G8-H8</f>
        <v>14461.052644261639</v>
      </c>
      <c r="J8" s="70">
        <f>J24</f>
        <v>2838.855443684904</v>
      </c>
      <c r="K8" s="70">
        <f>E8-L8</f>
        <v>25157.728087946543</v>
      </c>
      <c r="L8" s="70">
        <f>L23</f>
        <v>1848.53</v>
      </c>
      <c r="M8" s="17"/>
    </row>
    <row r="9" spans="1:13" ht="16.5" x14ac:dyDescent="0.3">
      <c r="A9" s="35" t="s">
        <v>156</v>
      </c>
      <c r="B9" s="70">
        <f>L8</f>
        <v>1848.53</v>
      </c>
      <c r="C9" s="70">
        <v>25565</v>
      </c>
      <c r="D9" s="70">
        <v>350</v>
      </c>
      <c r="E9" s="70">
        <f>SUM(B9:D9)</f>
        <v>27763.53</v>
      </c>
      <c r="F9" s="70"/>
      <c r="G9" s="70">
        <f>K9-J9</f>
        <v>23299.53</v>
      </c>
      <c r="H9" s="49">
        <v>8300</v>
      </c>
      <c r="I9" s="49">
        <f>G9-H9</f>
        <v>14999.529999999999</v>
      </c>
      <c r="J9" s="70">
        <v>2750</v>
      </c>
      <c r="K9" s="70">
        <f>E9-L9</f>
        <v>26049.53</v>
      </c>
      <c r="L9" s="70">
        <f>1714</f>
        <v>1714</v>
      </c>
      <c r="M9" s="17"/>
    </row>
    <row r="10" spans="1:13" ht="14" x14ac:dyDescent="0.3">
      <c r="A10" s="35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17"/>
    </row>
    <row r="11" spans="1:13" ht="14" x14ac:dyDescent="0.3">
      <c r="A11" s="35" t="s">
        <v>145</v>
      </c>
      <c r="B11" s="143"/>
      <c r="C11" s="56"/>
      <c r="D11" s="56"/>
      <c r="E11" s="56"/>
      <c r="F11" s="71"/>
      <c r="G11" s="56"/>
      <c r="H11" s="56"/>
      <c r="I11" s="56"/>
      <c r="J11" s="56"/>
      <c r="K11" s="56"/>
      <c r="L11" s="71"/>
    </row>
    <row r="12" spans="1:13" ht="14" x14ac:dyDescent="0.3">
      <c r="A12" s="38" t="s">
        <v>50</v>
      </c>
      <c r="B12" s="71">
        <f>1400.569+374.747</f>
        <v>1775.316</v>
      </c>
      <c r="C12" s="56">
        <v>2149.9690000000001</v>
      </c>
      <c r="D12" s="71">
        <f>(0.907155+0+12.884502+0.018812)*2.204622</f>
        <v>30.446863787718002</v>
      </c>
      <c r="E12" s="56">
        <f t="shared" ref="E12:E19" si="0">SUM(B12:D12)</f>
        <v>3955.7318637877179</v>
      </c>
      <c r="F12" s="71"/>
      <c r="G12" s="71">
        <f t="shared" ref="G12:G23" si="1">K12-J12</f>
        <v>1882.0904430526298</v>
      </c>
      <c r="H12" s="56">
        <v>557.52</v>
      </c>
      <c r="I12" s="56">
        <f t="shared" ref="I12:I23" si="2">G12-H12</f>
        <v>1324.5704430526298</v>
      </c>
      <c r="J12" s="56">
        <f>(101.953963+0.105555+12.281521+0.274265)*2.204622</f>
        <v>252.68342073508799</v>
      </c>
      <c r="K12" s="56">
        <f t="shared" ref="K12:K23" si="3">E12-L12</f>
        <v>2134.7738637877178</v>
      </c>
      <c r="L12" s="71">
        <f>1471.929+349.029</f>
        <v>1820.9580000000001</v>
      </c>
      <c r="M12" s="146"/>
    </row>
    <row r="13" spans="1:13" ht="14" x14ac:dyDescent="0.3">
      <c r="A13" s="38" t="s">
        <v>51</v>
      </c>
      <c r="B13" s="71">
        <f t="shared" ref="B13:B23" si="4">L12</f>
        <v>1820.9580000000001</v>
      </c>
      <c r="C13" s="56">
        <v>1999.6479999999999</v>
      </c>
      <c r="D13" s="71">
        <f>(0.913381+0.102526+10.043143+0.035035)*2.204622</f>
        <v>24.458263860870005</v>
      </c>
      <c r="E13" s="56">
        <f t="shared" si="0"/>
        <v>3845.0642638608697</v>
      </c>
      <c r="F13" s="71"/>
      <c r="G13" s="71">
        <f t="shared" si="1"/>
        <v>1706.9694769206637</v>
      </c>
      <c r="H13" s="56">
        <v>526.53</v>
      </c>
      <c r="I13" s="56">
        <f t="shared" si="2"/>
        <v>1180.4394769206638</v>
      </c>
      <c r="J13" s="56">
        <f>(98.252267+0.168085+18.257272+0.229849)*2.204622</f>
        <v>257.73678694020606</v>
      </c>
      <c r="K13" s="56">
        <f t="shared" si="3"/>
        <v>1964.7062638608697</v>
      </c>
      <c r="L13" s="71">
        <f>1522.923+357.435</f>
        <v>1880.3579999999999</v>
      </c>
      <c r="M13" s="146"/>
    </row>
    <row r="14" spans="1:13" ht="14" x14ac:dyDescent="0.3">
      <c r="A14" s="38" t="s">
        <v>52</v>
      </c>
      <c r="B14" s="71">
        <f t="shared" si="4"/>
        <v>1880.3579999999999</v>
      </c>
      <c r="C14" s="56">
        <v>2110.9360000000001</v>
      </c>
      <c r="D14" s="71">
        <f>(1.517194+0.111025+14.403726+0)*2.204622</f>
        <v>35.344378649790002</v>
      </c>
      <c r="E14" s="56">
        <f t="shared" si="0"/>
        <v>4026.63837864979</v>
      </c>
      <c r="F14" s="71"/>
      <c r="G14" s="71">
        <f t="shared" si="1"/>
        <v>1708.2900719668521</v>
      </c>
      <c r="H14" s="56">
        <v>541.04999999999995</v>
      </c>
      <c r="I14" s="56">
        <f t="shared" si="2"/>
        <v>1167.2400719668522</v>
      </c>
      <c r="J14" s="56">
        <f>(63.337525+0.026618+20.056471+0.169365)*2.204622</f>
        <v>184.28430668293799</v>
      </c>
      <c r="K14" s="56">
        <f t="shared" si="3"/>
        <v>1892.5743786497901</v>
      </c>
      <c r="L14" s="71">
        <f>1749.423+384.641</f>
        <v>2134.0639999999999</v>
      </c>
      <c r="M14" s="146"/>
    </row>
    <row r="15" spans="1:13" ht="14" x14ac:dyDescent="0.3">
      <c r="A15" s="38" t="s">
        <v>53</v>
      </c>
      <c r="B15" s="71">
        <f t="shared" si="4"/>
        <v>2134.0639999999999</v>
      </c>
      <c r="C15" s="56">
        <v>2154.4270000000001</v>
      </c>
      <c r="D15" s="71">
        <f>(2.126531+0.443575+12.214776+0)*2.204622</f>
        <v>32.595076124603999</v>
      </c>
      <c r="E15" s="56">
        <f t="shared" si="0"/>
        <v>4321.086076124604</v>
      </c>
      <c r="F15" s="71"/>
      <c r="G15" s="71">
        <f t="shared" si="1"/>
        <v>1844.199548509308</v>
      </c>
      <c r="H15" s="56">
        <v>521</v>
      </c>
      <c r="I15" s="56">
        <f t="shared" si="2"/>
        <v>1323.199548509308</v>
      </c>
      <c r="J15" s="56">
        <f>(44.792336+0.117811+11.595679+0.239742)*2.204622</f>
        <v>125.102527615296</v>
      </c>
      <c r="K15" s="56">
        <f t="shared" si="3"/>
        <v>1969.3020761246039</v>
      </c>
      <c r="L15" s="71">
        <f>1989.164+362.62</f>
        <v>2351.7840000000001</v>
      </c>
      <c r="M15" s="146"/>
    </row>
    <row r="16" spans="1:13" ht="14" x14ac:dyDescent="0.3">
      <c r="A16" s="38" t="s">
        <v>54</v>
      </c>
      <c r="B16" s="71">
        <f t="shared" si="4"/>
        <v>2351.7840000000001</v>
      </c>
      <c r="C16" s="56">
        <v>1999.5239999999999</v>
      </c>
      <c r="D16" s="71">
        <f>(2.359956+0.08919+10.275538+0)*2.204622</f>
        <v>28.053118289448001</v>
      </c>
      <c r="E16" s="56">
        <f t="shared" si="0"/>
        <v>4379.3611182894483</v>
      </c>
      <c r="F16" s="71"/>
      <c r="G16" s="71">
        <f t="shared" si="1"/>
        <v>1605.6683977361104</v>
      </c>
      <c r="H16" s="56">
        <v>574.78</v>
      </c>
      <c r="I16" s="56">
        <f t="shared" si="2"/>
        <v>1030.8883977361104</v>
      </c>
      <c r="J16" s="56">
        <f>(163.046872+0.108209+16.27962+0.298478)*2.204622</f>
        <v>396.24372055333799</v>
      </c>
      <c r="K16" s="56">
        <f t="shared" si="3"/>
        <v>2001.9121182894482</v>
      </c>
      <c r="L16" s="71">
        <f>1996.747+380.702</f>
        <v>2377.4490000000001</v>
      </c>
      <c r="M16" s="146"/>
    </row>
    <row r="17" spans="1:13" ht="14" x14ac:dyDescent="0.3">
      <c r="A17" s="38" t="s">
        <v>55</v>
      </c>
      <c r="B17" s="71">
        <f t="shared" si="4"/>
        <v>2377.4490000000001</v>
      </c>
      <c r="C17" s="56">
        <v>2201.0680000000002</v>
      </c>
      <c r="D17" s="71">
        <f>(1.501862+0.001651+9.293142+0)*2.204622</f>
        <v>23.802543139409998</v>
      </c>
      <c r="E17" s="56">
        <f t="shared" si="0"/>
        <v>4602.3195431394097</v>
      </c>
      <c r="F17" s="71"/>
      <c r="G17" s="71">
        <f t="shared" si="1"/>
        <v>1953.9599288879958</v>
      </c>
      <c r="H17" s="56">
        <v>656.02</v>
      </c>
      <c r="I17" s="56">
        <f t="shared" si="2"/>
        <v>1297.9399288879958</v>
      </c>
      <c r="J17" s="56">
        <f>(130.361496+0.283982+14.394011+0.458748)*2.204622</f>
        <v>320.76861425141408</v>
      </c>
      <c r="K17" s="56">
        <f t="shared" si="3"/>
        <v>2274.7285431394098</v>
      </c>
      <c r="L17" s="71">
        <f>1933.648+393.943</f>
        <v>2327.5909999999999</v>
      </c>
      <c r="M17" s="146"/>
    </row>
    <row r="18" spans="1:13" ht="14" x14ac:dyDescent="0.3">
      <c r="A18" s="38" t="s">
        <v>56</v>
      </c>
      <c r="B18" s="71">
        <f t="shared" si="4"/>
        <v>2327.5909999999999</v>
      </c>
      <c r="C18" s="56">
        <v>2099.4650000000001</v>
      </c>
      <c r="D18" s="71">
        <f>(5.945476+0+5.110422+0)*2.204622</f>
        <v>24.374075960555999</v>
      </c>
      <c r="E18" s="56">
        <f t="shared" si="0"/>
        <v>4451.4300759605567</v>
      </c>
      <c r="F18" s="71"/>
      <c r="G18" s="71">
        <f t="shared" si="1"/>
        <v>1619.2606368912866</v>
      </c>
      <c r="H18" s="56">
        <v>671.81</v>
      </c>
      <c r="I18" s="56">
        <f t="shared" si="2"/>
        <v>947.45063689128665</v>
      </c>
      <c r="J18" s="56">
        <f>(87.695281+3.66505+12.806232+0.249722)*2.204622</f>
        <v>230.19843906926999</v>
      </c>
      <c r="K18" s="56">
        <f t="shared" si="3"/>
        <v>1849.4590759605567</v>
      </c>
      <c r="L18" s="71">
        <f>2224.007+377.964</f>
        <v>2601.971</v>
      </c>
      <c r="M18" s="146"/>
    </row>
    <row r="19" spans="1:13" ht="14" x14ac:dyDescent="0.3">
      <c r="A19" s="38" t="s">
        <v>57</v>
      </c>
      <c r="B19" s="71">
        <f t="shared" si="4"/>
        <v>2601.971</v>
      </c>
      <c r="C19" s="56">
        <v>2057.6170000000002</v>
      </c>
      <c r="D19" s="71">
        <f>(3.133764+0+7.887634+0)*2.204622</f>
        <v>24.298016501556003</v>
      </c>
      <c r="E19" s="56">
        <f t="shared" si="0"/>
        <v>4683.8860165015558</v>
      </c>
      <c r="F19" s="71"/>
      <c r="G19" s="71">
        <f t="shared" si="1"/>
        <v>1878.8671831303036</v>
      </c>
      <c r="H19" s="56">
        <v>805.35</v>
      </c>
      <c r="I19" s="56">
        <f t="shared" si="2"/>
        <v>1073.5171831303037</v>
      </c>
      <c r="J19" s="56">
        <f>(146.2828+1.013597+14.669532+0.316237)*2.204622</f>
        <v>357.77083337125202</v>
      </c>
      <c r="K19" s="56">
        <f t="shared" si="3"/>
        <v>2236.6380165015557</v>
      </c>
      <c r="L19" s="71">
        <f>2048.992+398.256</f>
        <v>2447.248</v>
      </c>
      <c r="M19" s="71"/>
    </row>
    <row r="20" spans="1:13" ht="14" x14ac:dyDescent="0.3">
      <c r="A20" s="38" t="s">
        <v>58</v>
      </c>
      <c r="B20" s="71">
        <f t="shared" si="4"/>
        <v>2447.248</v>
      </c>
      <c r="C20" s="56">
        <v>2035.269</v>
      </c>
      <c r="D20" s="71">
        <f>(2.511371+0+8.915069+0)*2.204622</f>
        <v>25.190981005680005</v>
      </c>
      <c r="E20" s="56">
        <f>SUM(B20:D20)</f>
        <v>4507.7079810056803</v>
      </c>
      <c r="F20" s="71"/>
      <c r="G20" s="71">
        <f t="shared" si="1"/>
        <v>2069.3751779943923</v>
      </c>
      <c r="H20" s="56">
        <v>747.07</v>
      </c>
      <c r="I20" s="56">
        <f t="shared" si="2"/>
        <v>1322.3051779943921</v>
      </c>
      <c r="J20" s="56">
        <f>(64.082208+0.046033+11.538218+0.385945)*2.204622</f>
        <v>167.66680301128801</v>
      </c>
      <c r="K20" s="56">
        <f t="shared" si="3"/>
        <v>2237.0419810056801</v>
      </c>
      <c r="L20" s="71">
        <f>1925.583+345.083</f>
        <v>2270.6660000000002</v>
      </c>
      <c r="M20" s="146"/>
    </row>
    <row r="21" spans="1:13" ht="14" x14ac:dyDescent="0.3">
      <c r="A21" s="38" t="s">
        <v>60</v>
      </c>
      <c r="B21" s="71">
        <f t="shared" si="4"/>
        <v>2270.6660000000002</v>
      </c>
      <c r="C21" s="56">
        <v>2123.2370000000001</v>
      </c>
      <c r="D21" s="71">
        <f>(1.437321+0+11.120338+0)*2.204622</f>
        <v>27.684891299898002</v>
      </c>
      <c r="E21" s="56">
        <f>SUM(B21:D21)</f>
        <v>4421.5878912998978</v>
      </c>
      <c r="F21" s="71"/>
      <c r="G21" s="71">
        <f t="shared" si="1"/>
        <v>2133.8783126502199</v>
      </c>
      <c r="H21" s="56">
        <v>774.83</v>
      </c>
      <c r="I21" s="56">
        <f t="shared" si="2"/>
        <v>1359.0483126502199</v>
      </c>
      <c r="J21" s="56">
        <f>(64.323622+0.065902+10.076311+0.209814)*2.204622</f>
        <v>164.63157864967798</v>
      </c>
      <c r="K21" s="56">
        <f t="shared" si="3"/>
        <v>2298.5098912998978</v>
      </c>
      <c r="L21" s="71">
        <f>1776.314+346.764</f>
        <v>2123.078</v>
      </c>
      <c r="M21" s="146"/>
    </row>
    <row r="22" spans="1:13" ht="14" x14ac:dyDescent="0.3">
      <c r="A22" s="38" t="s">
        <v>61</v>
      </c>
      <c r="B22" s="71">
        <f t="shared" si="4"/>
        <v>2123.078</v>
      </c>
      <c r="C22" s="56">
        <v>2012.8230000000001</v>
      </c>
      <c r="D22" s="71">
        <f>(0.780729+0.049783+9.307564+0)*2.204622</f>
        <v>22.350625387272</v>
      </c>
      <c r="E22" s="56">
        <f>SUM(B22:D22)</f>
        <v>4158.2516253872718</v>
      </c>
      <c r="F22" s="71"/>
      <c r="G22" s="71">
        <f t="shared" si="1"/>
        <v>2014.6131086572618</v>
      </c>
      <c r="H22" s="56">
        <v>745.33</v>
      </c>
      <c r="I22" s="56">
        <f t="shared" si="2"/>
        <v>1269.2831086572619</v>
      </c>
      <c r="J22" s="56">
        <f>(76.647872+0.035441+14.584342+0.2113)*2.204622</f>
        <v>201.67651673001004</v>
      </c>
      <c r="K22" s="56">
        <f t="shared" si="3"/>
        <v>2216.2896253872718</v>
      </c>
      <c r="L22" s="71">
        <f>1572.483+369.479</f>
        <v>1941.962</v>
      </c>
      <c r="M22" s="146"/>
    </row>
    <row r="23" spans="1:13" ht="14" x14ac:dyDescent="0.3">
      <c r="A23" s="38" t="s">
        <v>63</v>
      </c>
      <c r="B23" s="71">
        <f t="shared" si="4"/>
        <v>1941.962</v>
      </c>
      <c r="C23" s="56">
        <v>1967.6210000000001</v>
      </c>
      <c r="D23" s="71">
        <f>(1.370358+0+8.036812+0)*2.204622</f>
        <v>20.739253939739999</v>
      </c>
      <c r="E23" s="56">
        <f>SUM(B23:D23)</f>
        <v>3930.3222539397402</v>
      </c>
      <c r="F23" s="71"/>
      <c r="G23" s="71">
        <f t="shared" si="1"/>
        <v>1901.7003578646145</v>
      </c>
      <c r="H23" s="56">
        <v>736.53</v>
      </c>
      <c r="I23" s="56">
        <f t="shared" si="2"/>
        <v>1165.1703578646145</v>
      </c>
      <c r="J23" s="56">
        <f>(68.72055+0.115908+12.442878+0.408997)*2.204622</f>
        <v>180.09189607512602</v>
      </c>
      <c r="K23" s="56">
        <f t="shared" si="3"/>
        <v>2081.7922539397405</v>
      </c>
      <c r="L23" s="71">
        <f>1503.344+345.186</f>
        <v>1848.53</v>
      </c>
      <c r="M23" s="146"/>
    </row>
    <row r="24" spans="1:13" ht="14" x14ac:dyDescent="0.3">
      <c r="A24" s="38" t="s">
        <v>3</v>
      </c>
      <c r="B24" s="71"/>
      <c r="C24" s="56">
        <f>SUM(C12:C23)</f>
        <v>24911.604000000003</v>
      </c>
      <c r="D24" s="71">
        <f>SUM(D12:D23)</f>
        <v>319.33808794654203</v>
      </c>
      <c r="E24" s="56">
        <f>B12+C24+D24</f>
        <v>27006.258087946542</v>
      </c>
      <c r="F24" s="71"/>
      <c r="G24" s="71">
        <f>SUM(G12:G23)</f>
        <v>22318.872644261639</v>
      </c>
      <c r="H24" s="56">
        <f>SUM(H12:H23)</f>
        <v>7857.82</v>
      </c>
      <c r="I24" s="56">
        <f>SUM(I12:I23)</f>
        <v>14461.052644261639</v>
      </c>
      <c r="J24" s="56">
        <f>SUM(J12:J23)</f>
        <v>2838.855443684904</v>
      </c>
      <c r="K24" s="56">
        <f>SUM(K12:K23)</f>
        <v>25157.728087946543</v>
      </c>
      <c r="L24" s="71"/>
      <c r="M24" s="146"/>
    </row>
    <row r="25" spans="1:13" ht="14" x14ac:dyDescent="0.3">
      <c r="A25" s="38"/>
      <c r="B25" s="143"/>
      <c r="C25" s="56"/>
      <c r="D25" s="56"/>
      <c r="E25" s="56"/>
      <c r="F25" s="71"/>
      <c r="G25" s="56"/>
      <c r="H25" s="56"/>
      <c r="I25" s="56"/>
      <c r="J25" s="56"/>
      <c r="K25" s="56"/>
      <c r="L25" s="71"/>
    </row>
    <row r="26" spans="1:13" ht="14" x14ac:dyDescent="0.3">
      <c r="A26" s="35" t="s">
        <v>168</v>
      </c>
      <c r="B26" s="143"/>
      <c r="C26" s="56"/>
      <c r="D26" s="56"/>
      <c r="E26" s="56"/>
      <c r="F26" s="71"/>
      <c r="G26" s="56"/>
      <c r="H26" s="56"/>
      <c r="I26" s="56"/>
      <c r="J26" s="56"/>
      <c r="K26" s="56"/>
      <c r="L26" s="71"/>
    </row>
    <row r="27" spans="1:13" ht="14" x14ac:dyDescent="0.3">
      <c r="A27" s="38" t="s">
        <v>50</v>
      </c>
      <c r="B27" s="71">
        <f>L23</f>
        <v>1848.53</v>
      </c>
      <c r="C27" s="56">
        <v>2282.471</v>
      </c>
      <c r="D27" s="71">
        <f>(1.015586+0.000563+8.263561+0)*2.204622</f>
        <v>20.45825281962</v>
      </c>
      <c r="E27" s="56">
        <f>SUM(B27:D27)</f>
        <v>4151.4592528196199</v>
      </c>
      <c r="F27" s="71"/>
      <c r="G27" s="71">
        <f>K27-J27</f>
        <v>2003.5441440301299</v>
      </c>
      <c r="H27" s="56">
        <v>723</v>
      </c>
      <c r="I27" s="56">
        <f>G27-H27</f>
        <v>1280.5441440301299</v>
      </c>
      <c r="J27" s="56">
        <f>(63.536922+0.093835+19.218456+0.634082)*2.204622</f>
        <v>184.04910878948999</v>
      </c>
      <c r="K27" s="56">
        <f>E27-L27</f>
        <v>2187.5932528196199</v>
      </c>
      <c r="L27" s="71">
        <f>1564.319+399.547</f>
        <v>1963.866</v>
      </c>
      <c r="M27" s="146"/>
    </row>
    <row r="28" spans="1:13" ht="14" x14ac:dyDescent="0.3">
      <c r="A28" s="38" t="s">
        <v>51</v>
      </c>
      <c r="B28" s="71">
        <f>L27</f>
        <v>1963.866</v>
      </c>
      <c r="C28" s="56">
        <v>2206.7919999999999</v>
      </c>
      <c r="D28" s="71">
        <f>(1.296231+0+8.287878+0)*2.204622</f>
        <v>21.129337551797999</v>
      </c>
      <c r="E28" s="56">
        <f>SUM(B28:D28)</f>
        <v>4191.7873375517975</v>
      </c>
      <c r="F28" s="71"/>
      <c r="G28" s="71">
        <f>K28-J28</f>
        <v>1896.8493977333474</v>
      </c>
      <c r="H28" s="56">
        <v>683</v>
      </c>
      <c r="I28" s="56">
        <f>G28-H28</f>
        <v>1213.8493977333474</v>
      </c>
      <c r="J28" s="56">
        <f>(64.90939+0.033439+14.406644+1.047502)*2.204622</f>
        <v>177.24493981845001</v>
      </c>
      <c r="K28" s="56">
        <f>E28-L28</f>
        <v>2074.0943375517973</v>
      </c>
      <c r="L28" s="71">
        <f>1685.131+432.562</f>
        <v>2117.6930000000002</v>
      </c>
      <c r="M28" s="146"/>
    </row>
    <row r="29" spans="1:13" ht="14" x14ac:dyDescent="0.3">
      <c r="A29" s="38" t="s">
        <v>52</v>
      </c>
      <c r="B29" s="71">
        <f>L28</f>
        <v>2117.6930000000002</v>
      </c>
      <c r="C29" s="56">
        <v>2231.7179999999998</v>
      </c>
      <c r="D29" s="71">
        <f>(0.835948+0+10.618288+0)*2.204622</f>
        <v>25.252260678792002</v>
      </c>
      <c r="E29" s="56">
        <f>SUM(B29:D29)</f>
        <v>4374.6632606787916</v>
      </c>
      <c r="F29" s="71"/>
      <c r="G29" s="71">
        <f>K29-J29</f>
        <v>1920.8530003162596</v>
      </c>
      <c r="H29" s="56" t="s">
        <v>10</v>
      </c>
      <c r="I29" s="56" t="s">
        <v>10</v>
      </c>
      <c r="J29" s="56">
        <f>(94.061165+0.110508+12.101682+0.340051)*2.204622</f>
        <v>235.04226036253201</v>
      </c>
      <c r="K29" s="56">
        <f>E29-L29</f>
        <v>2155.8952606787916</v>
      </c>
      <c r="L29" s="71">
        <f>1808.138+410.63</f>
        <v>2218.768</v>
      </c>
      <c r="M29" s="146"/>
    </row>
    <row r="30" spans="1:13" ht="14" x14ac:dyDescent="0.3">
      <c r="A30" s="34" t="s">
        <v>169</v>
      </c>
      <c r="B30" s="77"/>
      <c r="C30" s="62">
        <f>SUM(C27:C29)</f>
        <v>6720.9809999999998</v>
      </c>
      <c r="D30" s="77">
        <f>SUM(D27:D29)</f>
        <v>66.839851050210001</v>
      </c>
      <c r="E30" s="62">
        <f>B27+C30+D30</f>
        <v>8636.3508510502106</v>
      </c>
      <c r="F30" s="77"/>
      <c r="G30" s="77">
        <f>SUM(G27:G29)</f>
        <v>5821.2465420797371</v>
      </c>
      <c r="H30" s="62">
        <f>SUM(H27:H29)</f>
        <v>1406</v>
      </c>
      <c r="I30" s="62">
        <f>SUM(I27:I29)</f>
        <v>2494.3935417634775</v>
      </c>
      <c r="J30" s="62">
        <f>SUM(J27:J29)</f>
        <v>596.33630897047203</v>
      </c>
      <c r="K30" s="77">
        <f>SUM(K27:K29)</f>
        <v>6417.5828510502088</v>
      </c>
      <c r="L30" s="77"/>
    </row>
    <row r="31" spans="1:13" ht="16.5" x14ac:dyDescent="0.3">
      <c r="A31" s="75" t="s">
        <v>155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3" ht="14.5" x14ac:dyDescent="0.35">
      <c r="A32" s="35" t="s">
        <v>111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ht="14" x14ac:dyDescent="0.3">
      <c r="A33" s="39" t="s">
        <v>20</v>
      </c>
      <c r="B33" s="67">
        <f ca="1">NOW()</f>
        <v>44237.660999884261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:I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7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2.6328125" customWidth="1"/>
    <col min="3" max="3" width="10.26953125" customWidth="1"/>
    <col min="4" max="4" width="12.26953125" customWidth="1"/>
    <col min="5" max="5" width="10.7265625" customWidth="1"/>
    <col min="6" max="6" width="10.54296875" customWidth="1"/>
    <col min="7" max="7" width="11.7265625" customWidth="1"/>
    <col min="8" max="8" width="8.7265625" customWidth="1"/>
    <col min="9" max="9" width="9.7265625" customWidth="1"/>
    <col min="10" max="11" width="7.7265625" customWidth="1"/>
    <col min="12" max="12" width="8.54296875" customWidth="1"/>
    <col min="13" max="13" width="9.54296875" customWidth="1"/>
    <col min="14" max="15" width="7.54296875" customWidth="1"/>
  </cols>
  <sheetData>
    <row r="1" spans="1:15" ht="14" x14ac:dyDescent="0.3">
      <c r="A1" s="34" t="s">
        <v>149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35"/>
      <c r="N1" s="35"/>
      <c r="O1" s="35"/>
    </row>
    <row r="2" spans="1:15" ht="14" x14ac:dyDescent="0.3">
      <c r="A2" s="35"/>
      <c r="B2" s="169" t="s">
        <v>0</v>
      </c>
      <c r="C2" s="169"/>
      <c r="D2" s="169"/>
      <c r="E2" s="169"/>
      <c r="F2" s="78"/>
      <c r="G2" s="169" t="s">
        <v>19</v>
      </c>
      <c r="H2" s="169"/>
      <c r="I2" s="169"/>
      <c r="J2" s="169"/>
      <c r="K2" s="78"/>
      <c r="L2" s="35"/>
      <c r="M2" s="35"/>
      <c r="N2" s="35"/>
      <c r="O2" s="35"/>
    </row>
    <row r="3" spans="1:15" ht="14" x14ac:dyDescent="0.3">
      <c r="A3" s="35" t="s">
        <v>74</v>
      </c>
      <c r="B3" s="39" t="s">
        <v>30</v>
      </c>
      <c r="C3" s="39"/>
      <c r="D3" s="39"/>
      <c r="E3" s="39"/>
      <c r="F3" s="79"/>
      <c r="G3" s="39"/>
      <c r="H3" s="39"/>
      <c r="I3" s="39"/>
      <c r="J3" s="39"/>
      <c r="K3" s="37" t="s">
        <v>28</v>
      </c>
      <c r="L3" s="35"/>
      <c r="M3" s="35"/>
      <c r="N3" s="35"/>
      <c r="O3" s="35"/>
    </row>
    <row r="4" spans="1:15" ht="14" x14ac:dyDescent="0.3">
      <c r="A4" s="40" t="s">
        <v>76</v>
      </c>
      <c r="B4" s="42" t="s">
        <v>47</v>
      </c>
      <c r="C4" s="80" t="s">
        <v>1</v>
      </c>
      <c r="D4" s="44" t="s">
        <v>31</v>
      </c>
      <c r="E4" s="42" t="s">
        <v>84</v>
      </c>
      <c r="F4" s="43"/>
      <c r="G4" s="42" t="s">
        <v>34</v>
      </c>
      <c r="H4" s="42" t="s">
        <v>4</v>
      </c>
      <c r="I4" s="42" t="s">
        <v>35</v>
      </c>
      <c r="J4" s="42" t="s">
        <v>32</v>
      </c>
      <c r="K4" s="42" t="s">
        <v>27</v>
      </c>
      <c r="L4" s="35"/>
      <c r="M4" s="35"/>
      <c r="N4" s="35"/>
      <c r="O4" s="35"/>
    </row>
    <row r="5" spans="1:15" ht="14.5" x14ac:dyDescent="0.35">
      <c r="A5" s="35"/>
      <c r="B5" s="170" t="s">
        <v>14</v>
      </c>
      <c r="C5" s="170"/>
      <c r="D5" s="170"/>
      <c r="E5" s="170"/>
      <c r="F5" s="170"/>
      <c r="G5" s="170"/>
      <c r="H5" s="170"/>
      <c r="I5" s="170"/>
      <c r="J5" s="170"/>
      <c r="K5" s="170"/>
      <c r="L5" s="35"/>
      <c r="M5" s="35"/>
      <c r="N5" s="35"/>
      <c r="O5" s="35"/>
    </row>
    <row r="6" spans="1:15" ht="14" x14ac:dyDescent="0.3">
      <c r="A6" s="35"/>
      <c r="B6" s="35"/>
      <c r="C6" s="35"/>
      <c r="D6" s="35"/>
      <c r="E6" s="35"/>
      <c r="F6" s="35"/>
      <c r="G6" s="76"/>
      <c r="H6" s="81"/>
      <c r="I6" s="76"/>
      <c r="J6" s="76"/>
      <c r="K6" s="35"/>
      <c r="L6" s="35"/>
      <c r="M6" s="35"/>
      <c r="N6" s="35"/>
      <c r="O6" s="35"/>
    </row>
    <row r="7" spans="1:15" ht="16.5" x14ac:dyDescent="0.3">
      <c r="A7" s="35" t="s">
        <v>140</v>
      </c>
      <c r="B7" s="82">
        <v>451</v>
      </c>
      <c r="C7" s="82">
        <v>5631</v>
      </c>
      <c r="D7" s="83">
        <v>0.50413091273999999</v>
      </c>
      <c r="E7" s="82">
        <f>B7+C7+D7</f>
        <v>6082.50413091274</v>
      </c>
      <c r="F7" s="50"/>
      <c r="G7" s="82">
        <v>1760.4089999999999</v>
      </c>
      <c r="H7" s="84">
        <v>387.03680000000003</v>
      </c>
      <c r="I7" s="82">
        <f>J7-G7-H7</f>
        <v>3458.0583309127405</v>
      </c>
      <c r="J7" s="82">
        <f>E7-K7</f>
        <v>5605.50413091274</v>
      </c>
      <c r="K7" s="82">
        <v>477</v>
      </c>
      <c r="L7" s="35"/>
      <c r="M7" s="35"/>
      <c r="N7" s="35"/>
      <c r="O7" s="35"/>
    </row>
    <row r="8" spans="1:15" ht="16.5" x14ac:dyDescent="0.3">
      <c r="A8" s="35" t="s">
        <v>144</v>
      </c>
      <c r="B8" s="82">
        <f>K7</f>
        <v>477</v>
      </c>
      <c r="C8" s="82">
        <v>5945</v>
      </c>
      <c r="D8" s="83">
        <v>1.0880000000000001</v>
      </c>
      <c r="E8" s="82">
        <f>B8+C8+D8</f>
        <v>6423.0879999999997</v>
      </c>
      <c r="F8" s="50"/>
      <c r="G8" s="82">
        <v>1712.0099999999998</v>
      </c>
      <c r="H8" s="84">
        <v>340.67500000000001</v>
      </c>
      <c r="I8" s="82">
        <f>J8-G8-H8</f>
        <v>3914.4029999999993</v>
      </c>
      <c r="J8" s="82">
        <f>E8-K8</f>
        <v>5967.0879999999997</v>
      </c>
      <c r="K8" s="82">
        <v>456</v>
      </c>
      <c r="L8" s="35"/>
      <c r="M8" s="35"/>
      <c r="N8" s="35"/>
      <c r="O8" s="35"/>
    </row>
    <row r="9" spans="1:15" ht="16.5" x14ac:dyDescent="0.3">
      <c r="A9" s="34" t="s">
        <v>156</v>
      </c>
      <c r="B9" s="85">
        <f>K8</f>
        <v>456</v>
      </c>
      <c r="C9" s="85">
        <v>4587</v>
      </c>
      <c r="D9" s="86">
        <v>5</v>
      </c>
      <c r="E9" s="85">
        <f>B9+C9+D9</f>
        <v>5048</v>
      </c>
      <c r="F9" s="87"/>
      <c r="G9" s="85">
        <v>1650</v>
      </c>
      <c r="H9" s="88">
        <v>250</v>
      </c>
      <c r="I9" s="85">
        <f>J9-G9-H9</f>
        <v>2807</v>
      </c>
      <c r="J9" s="85">
        <f>E9-K9</f>
        <v>4707</v>
      </c>
      <c r="K9" s="85">
        <v>341</v>
      </c>
      <c r="L9" s="35"/>
      <c r="M9" s="35"/>
      <c r="N9" s="35"/>
      <c r="O9" s="35"/>
    </row>
    <row r="10" spans="1:15" ht="16.5" x14ac:dyDescent="0.3">
      <c r="A10" s="75" t="s">
        <v>112</v>
      </c>
      <c r="B10" s="35"/>
      <c r="C10" s="50"/>
      <c r="D10" s="50"/>
      <c r="E10" s="50"/>
      <c r="F10" s="50"/>
      <c r="G10" s="150"/>
      <c r="H10" s="50"/>
      <c r="I10" s="50"/>
      <c r="J10" s="50"/>
      <c r="K10" s="35"/>
      <c r="L10" s="35"/>
      <c r="M10" s="35"/>
      <c r="N10" s="35"/>
      <c r="O10" s="35"/>
    </row>
    <row r="11" spans="1:15" ht="14.5" x14ac:dyDescent="0.35">
      <c r="A11" s="35" t="s">
        <v>113</v>
      </c>
      <c r="B11" s="51"/>
      <c r="C11" s="55"/>
      <c r="D11" s="35"/>
      <c r="E11" s="51"/>
      <c r="F11" s="51"/>
      <c r="G11" s="51"/>
      <c r="H11" s="51"/>
      <c r="I11" s="51"/>
      <c r="J11" s="51"/>
      <c r="K11" s="35"/>
      <c r="L11" s="35"/>
      <c r="M11" s="35"/>
      <c r="N11" s="35"/>
      <c r="O11" s="35"/>
    </row>
    <row r="12" spans="1:15" ht="14.5" x14ac:dyDescent="0.35">
      <c r="A12" s="35" t="s">
        <v>164</v>
      </c>
      <c r="B12" s="51"/>
      <c r="C12" s="55"/>
      <c r="D12" s="35"/>
      <c r="E12" s="51"/>
      <c r="F12" s="51"/>
      <c r="G12" s="51"/>
      <c r="H12" s="51"/>
      <c r="I12" s="51"/>
      <c r="J12" s="51"/>
      <c r="K12" s="35"/>
      <c r="L12" s="35"/>
      <c r="M12" s="35"/>
      <c r="N12" s="35"/>
      <c r="O12" s="35"/>
    </row>
    <row r="13" spans="1:15" ht="14" x14ac:dyDescent="0.3">
      <c r="A13" s="35"/>
      <c r="B13" s="51"/>
      <c r="C13" s="55"/>
      <c r="D13" s="35"/>
      <c r="E13" s="51"/>
      <c r="F13" s="51"/>
      <c r="G13" s="51"/>
      <c r="H13" s="51"/>
      <c r="I13" s="51"/>
      <c r="J13" s="51"/>
      <c r="K13" s="35"/>
      <c r="L13" s="35"/>
      <c r="M13" s="35"/>
      <c r="N13" s="35"/>
      <c r="O13" s="35"/>
    </row>
    <row r="14" spans="1:15" ht="14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ht="14" x14ac:dyDescent="0.3">
      <c r="A15" s="34" t="s">
        <v>150</v>
      </c>
      <c r="B15" s="34"/>
      <c r="C15" s="34"/>
      <c r="D15" s="34"/>
      <c r="E15" s="34"/>
      <c r="F15" s="34"/>
      <c r="G15" s="34"/>
      <c r="H15" s="34"/>
      <c r="I15" s="35"/>
      <c r="J15" s="34"/>
      <c r="K15" s="35"/>
      <c r="L15" s="35"/>
      <c r="M15" s="35"/>
      <c r="N15" s="35"/>
      <c r="O15" s="35"/>
    </row>
    <row r="16" spans="1:15" ht="14" x14ac:dyDescent="0.3">
      <c r="A16" s="35"/>
      <c r="B16" s="169" t="s">
        <v>0</v>
      </c>
      <c r="C16" s="169"/>
      <c r="D16" s="169"/>
      <c r="E16" s="169"/>
      <c r="F16" s="35"/>
      <c r="G16" s="169" t="s">
        <v>19</v>
      </c>
      <c r="H16" s="169"/>
      <c r="I16" s="169"/>
      <c r="J16" s="35"/>
      <c r="K16" s="35"/>
      <c r="L16" s="35"/>
      <c r="M16" s="35"/>
      <c r="N16" s="35"/>
      <c r="O16" s="35"/>
    </row>
    <row r="17" spans="1:15" ht="14" x14ac:dyDescent="0.3">
      <c r="A17" s="35" t="s">
        <v>74</v>
      </c>
      <c r="B17" s="37" t="s">
        <v>30</v>
      </c>
      <c r="C17" s="39"/>
      <c r="D17" s="39"/>
      <c r="E17" s="39"/>
      <c r="F17" s="39"/>
      <c r="G17" s="39"/>
      <c r="H17" s="39"/>
      <c r="I17" s="39"/>
      <c r="J17" s="37" t="s">
        <v>28</v>
      </c>
      <c r="K17" s="35"/>
      <c r="L17" s="35"/>
      <c r="M17" s="35"/>
      <c r="N17" s="35"/>
      <c r="O17" s="35"/>
    </row>
    <row r="18" spans="1:15" ht="14" x14ac:dyDescent="0.3">
      <c r="A18" s="40" t="s">
        <v>75</v>
      </c>
      <c r="B18" s="42" t="s">
        <v>27</v>
      </c>
      <c r="C18" s="80" t="s">
        <v>1</v>
      </c>
      <c r="D18" s="44" t="s">
        <v>31</v>
      </c>
      <c r="E18" s="42" t="s">
        <v>32</v>
      </c>
      <c r="F18" s="43"/>
      <c r="G18" s="89" t="s">
        <v>9</v>
      </c>
      <c r="H18" s="42" t="s">
        <v>4</v>
      </c>
      <c r="I18" s="44" t="s">
        <v>26</v>
      </c>
      <c r="J18" s="42" t="s">
        <v>27</v>
      </c>
      <c r="K18" s="35"/>
      <c r="L18" s="35"/>
      <c r="M18" s="35"/>
      <c r="N18" s="35"/>
      <c r="O18" s="35"/>
    </row>
    <row r="19" spans="1:15" ht="14.5" x14ac:dyDescent="0.35">
      <c r="A19" s="35"/>
      <c r="B19" s="170" t="s">
        <v>15</v>
      </c>
      <c r="C19" s="170"/>
      <c r="D19" s="170"/>
      <c r="E19" s="170"/>
      <c r="F19" s="170"/>
      <c r="G19" s="170"/>
      <c r="H19" s="170"/>
      <c r="I19" s="170"/>
      <c r="J19" s="170"/>
      <c r="K19" s="35"/>
      <c r="L19" s="35"/>
      <c r="M19" s="35"/>
      <c r="N19" s="35"/>
      <c r="O19" s="35"/>
    </row>
    <row r="20" spans="1:15" ht="14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16.5" x14ac:dyDescent="0.3">
      <c r="A21" s="35" t="s">
        <v>140</v>
      </c>
      <c r="B21" s="82">
        <v>45</v>
      </c>
      <c r="C21" s="84">
        <v>747.56499999999983</v>
      </c>
      <c r="D21" s="83">
        <v>0</v>
      </c>
      <c r="E21" s="84">
        <f>B21+C21+D21</f>
        <v>792.56499999999983</v>
      </c>
      <c r="F21" s="35"/>
      <c r="G21" s="84">
        <f>I21-H21</f>
        <v>635.74599999999987</v>
      </c>
      <c r="H21" s="84">
        <v>113.819</v>
      </c>
      <c r="I21" s="84">
        <f>E21-J21</f>
        <v>749.56499999999983</v>
      </c>
      <c r="J21" s="82">
        <v>43</v>
      </c>
      <c r="K21" s="35"/>
      <c r="L21" s="35"/>
      <c r="M21" s="35"/>
      <c r="N21" s="35"/>
      <c r="O21" s="35"/>
    </row>
    <row r="22" spans="1:15" ht="16.5" x14ac:dyDescent="0.3">
      <c r="A22" s="35" t="s">
        <v>144</v>
      </c>
      <c r="B22" s="82">
        <f>J21</f>
        <v>43</v>
      </c>
      <c r="C22" s="84">
        <v>779.976</v>
      </c>
      <c r="D22" s="83">
        <v>0</v>
      </c>
      <c r="E22" s="84">
        <f>B22+C22+D22</f>
        <v>822.976</v>
      </c>
      <c r="F22" s="35"/>
      <c r="G22" s="84">
        <f>I22-H22</f>
        <v>688.53899999999999</v>
      </c>
      <c r="H22" s="84">
        <v>109.565</v>
      </c>
      <c r="I22" s="84">
        <f>E22-J22</f>
        <v>798.10400000000004</v>
      </c>
      <c r="J22" s="82">
        <v>24.872</v>
      </c>
      <c r="K22" s="35"/>
      <c r="L22" s="35"/>
      <c r="M22" s="35"/>
      <c r="N22" s="35"/>
      <c r="O22" s="35"/>
    </row>
    <row r="23" spans="1:15" ht="16.5" x14ac:dyDescent="0.3">
      <c r="A23" s="34" t="s">
        <v>156</v>
      </c>
      <c r="B23" s="85">
        <f>J22</f>
        <v>24.872</v>
      </c>
      <c r="C23" s="88">
        <v>745</v>
      </c>
      <c r="D23" s="86">
        <v>0</v>
      </c>
      <c r="E23" s="88">
        <f>B23+C23+D23</f>
        <v>769.87199999999996</v>
      </c>
      <c r="F23" s="87"/>
      <c r="G23" s="88">
        <f>I23-H23</f>
        <v>649.87199999999996</v>
      </c>
      <c r="H23" s="88">
        <v>75</v>
      </c>
      <c r="I23" s="88">
        <f>E23-J23</f>
        <v>724.87199999999996</v>
      </c>
      <c r="J23" s="85">
        <v>45</v>
      </c>
      <c r="K23" s="35"/>
      <c r="L23" s="35"/>
      <c r="M23" s="35"/>
      <c r="N23" s="35"/>
      <c r="O23" s="35"/>
    </row>
    <row r="24" spans="1:15" ht="16.5" x14ac:dyDescent="0.3">
      <c r="A24" s="75" t="s">
        <v>112</v>
      </c>
      <c r="B24" s="35"/>
      <c r="C24" s="50"/>
      <c r="D24" s="50"/>
      <c r="E24" s="50"/>
      <c r="F24" s="50"/>
      <c r="G24" s="50"/>
      <c r="H24" s="50"/>
      <c r="I24" s="35"/>
      <c r="J24" s="35"/>
      <c r="K24" s="35"/>
      <c r="L24" s="35"/>
      <c r="M24" s="35"/>
      <c r="N24" s="35"/>
      <c r="O24" s="35"/>
    </row>
    <row r="25" spans="1:15" ht="14.5" x14ac:dyDescent="0.35">
      <c r="A25" s="35" t="s">
        <v>159</v>
      </c>
      <c r="B25" s="90"/>
      <c r="C25" s="90"/>
      <c r="D25" s="90"/>
      <c r="E25" s="90"/>
      <c r="F25" s="90"/>
      <c r="G25" s="90"/>
      <c r="H25" s="90"/>
      <c r="I25" s="35"/>
      <c r="J25" s="35"/>
      <c r="K25" s="35"/>
      <c r="L25" s="35"/>
      <c r="M25" s="35"/>
      <c r="N25" s="35"/>
      <c r="O25" s="35"/>
    </row>
    <row r="26" spans="1:15" ht="14" x14ac:dyDescent="0.3">
      <c r="A26" s="38"/>
      <c r="B26" s="51"/>
      <c r="C26" s="51"/>
      <c r="D26" s="51"/>
      <c r="E26" s="51"/>
      <c r="F26" s="51"/>
      <c r="G26" s="51"/>
      <c r="H26" s="51"/>
      <c r="I26" s="35"/>
      <c r="J26" s="35"/>
      <c r="K26" s="35"/>
      <c r="L26" s="35"/>
      <c r="M26" s="35"/>
      <c r="N26" s="35"/>
      <c r="O26" s="35"/>
    </row>
    <row r="27" spans="1:15" ht="14" x14ac:dyDescent="0.3">
      <c r="A27" s="38"/>
      <c r="B27" s="51"/>
      <c r="C27" s="55"/>
      <c r="D27" s="51"/>
      <c r="E27" s="51"/>
      <c r="F27" s="51"/>
      <c r="G27" s="51"/>
      <c r="H27" s="51"/>
      <c r="I27" s="35"/>
      <c r="J27" s="35"/>
      <c r="K27" s="35"/>
      <c r="L27" s="35"/>
      <c r="M27" s="35"/>
      <c r="N27" s="35"/>
      <c r="O27" s="35"/>
    </row>
    <row r="28" spans="1:15" ht="14" x14ac:dyDescent="0.3">
      <c r="A28" s="34" t="s">
        <v>151</v>
      </c>
      <c r="B28" s="34"/>
      <c r="C28" s="34"/>
      <c r="D28" s="34"/>
      <c r="E28" s="34"/>
      <c r="F28" s="34"/>
      <c r="G28" s="34"/>
      <c r="H28" s="34"/>
      <c r="I28" s="35"/>
      <c r="J28" s="34"/>
      <c r="K28" s="35"/>
      <c r="L28" s="35"/>
      <c r="M28" s="35"/>
      <c r="N28" s="35"/>
      <c r="O28" s="35"/>
    </row>
    <row r="29" spans="1:15" ht="14" x14ac:dyDescent="0.3">
      <c r="A29" s="35"/>
      <c r="B29" s="169" t="s">
        <v>0</v>
      </c>
      <c r="C29" s="169"/>
      <c r="D29" s="169"/>
      <c r="E29" s="169"/>
      <c r="F29" s="35"/>
      <c r="G29" s="169" t="s">
        <v>19</v>
      </c>
      <c r="H29" s="169"/>
      <c r="I29" s="169"/>
      <c r="J29" s="35"/>
      <c r="K29" s="35"/>
      <c r="L29" s="35"/>
      <c r="M29" s="35"/>
      <c r="N29" s="35"/>
      <c r="O29" s="35"/>
    </row>
    <row r="30" spans="1:15" ht="14" x14ac:dyDescent="0.3">
      <c r="A30" s="35" t="s">
        <v>74</v>
      </c>
      <c r="B30" s="37" t="s">
        <v>30</v>
      </c>
      <c r="C30" s="39"/>
      <c r="D30" s="39"/>
      <c r="E30" s="39"/>
      <c r="F30" s="39"/>
      <c r="G30" s="39"/>
      <c r="H30" s="39"/>
      <c r="I30" s="39"/>
      <c r="J30" s="37" t="s">
        <v>28</v>
      </c>
      <c r="K30" s="35"/>
      <c r="L30" s="35"/>
      <c r="M30" s="35"/>
      <c r="N30" s="35"/>
      <c r="O30" s="35"/>
    </row>
    <row r="31" spans="1:15" ht="14" x14ac:dyDescent="0.3">
      <c r="A31" s="40" t="s">
        <v>75</v>
      </c>
      <c r="B31" s="42" t="s">
        <v>27</v>
      </c>
      <c r="C31" s="42" t="s">
        <v>1</v>
      </c>
      <c r="D31" s="44" t="s">
        <v>31</v>
      </c>
      <c r="E31" s="42" t="s">
        <v>32</v>
      </c>
      <c r="F31" s="43"/>
      <c r="G31" s="42" t="s">
        <v>29</v>
      </c>
      <c r="H31" s="42" t="s">
        <v>4</v>
      </c>
      <c r="I31" s="42" t="s">
        <v>26</v>
      </c>
      <c r="J31" s="42" t="s">
        <v>85</v>
      </c>
      <c r="K31" s="35"/>
      <c r="L31" s="35"/>
      <c r="M31" s="35"/>
      <c r="N31" s="35"/>
      <c r="O31" s="35"/>
    </row>
    <row r="32" spans="1:15" ht="14.5" x14ac:dyDescent="0.35">
      <c r="A32" s="35"/>
      <c r="B32" s="170" t="s">
        <v>16</v>
      </c>
      <c r="C32" s="170"/>
      <c r="D32" s="170"/>
      <c r="E32" s="170"/>
      <c r="F32" s="170"/>
      <c r="G32" s="170"/>
      <c r="H32" s="170"/>
      <c r="I32" s="170"/>
      <c r="J32" s="170"/>
      <c r="K32" s="35"/>
      <c r="L32" s="35"/>
      <c r="M32" s="35"/>
      <c r="N32" s="35"/>
      <c r="O32" s="35"/>
    </row>
    <row r="33" spans="1:15" ht="14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6.5" x14ac:dyDescent="0.3">
      <c r="A34" s="35" t="s">
        <v>140</v>
      </c>
      <c r="B34" s="83">
        <v>32</v>
      </c>
      <c r="C34" s="84">
        <v>455.77300000000002</v>
      </c>
      <c r="D34" s="83">
        <v>4.2840000000000003E-2</v>
      </c>
      <c r="E34" s="91">
        <f>B34+C34+D34</f>
        <v>487.81584000000004</v>
      </c>
      <c r="F34" s="35"/>
      <c r="G34" s="84">
        <f>I34-H34</f>
        <v>369.63574000000006</v>
      </c>
      <c r="H34" s="84">
        <v>83.139099999999999</v>
      </c>
      <c r="I34" s="84">
        <f>E34-J34</f>
        <v>452.77484000000004</v>
      </c>
      <c r="J34" s="92">
        <v>35.040999999999997</v>
      </c>
      <c r="K34" s="35"/>
      <c r="L34" s="35"/>
      <c r="M34" s="35"/>
      <c r="N34" s="35"/>
      <c r="O34" s="35"/>
    </row>
    <row r="35" spans="1:15" ht="16.5" x14ac:dyDescent="0.3">
      <c r="A35" s="35" t="s">
        <v>144</v>
      </c>
      <c r="B35" s="83">
        <f>J34</f>
        <v>35.040999999999997</v>
      </c>
      <c r="C35" s="84">
        <v>481.34800000000001</v>
      </c>
      <c r="D35" s="83">
        <v>0.26666000000000001</v>
      </c>
      <c r="E35" s="91">
        <f>B35+C35+D35</f>
        <v>516.65566000000001</v>
      </c>
      <c r="F35" s="35"/>
      <c r="G35" s="84">
        <f>I35-H35</f>
        <v>388.20186000000001</v>
      </c>
      <c r="H35" s="84">
        <v>83.915800000000004</v>
      </c>
      <c r="I35" s="84">
        <f>E35-J35</f>
        <v>472.11766</v>
      </c>
      <c r="J35" s="92">
        <f>28.538+16</f>
        <v>44.537999999999997</v>
      </c>
      <c r="K35" s="35"/>
      <c r="L35" s="35"/>
      <c r="M35" s="35"/>
      <c r="N35" s="35"/>
      <c r="O35" s="35"/>
    </row>
    <row r="36" spans="1:15" ht="16.5" x14ac:dyDescent="0.3">
      <c r="A36" s="34" t="s">
        <v>156</v>
      </c>
      <c r="B36" s="86">
        <f>J35</f>
        <v>44.537999999999997</v>
      </c>
      <c r="C36" s="88">
        <v>460</v>
      </c>
      <c r="D36" s="86">
        <v>5</v>
      </c>
      <c r="E36" s="93">
        <f>B36+C36+D36</f>
        <v>509.53800000000001</v>
      </c>
      <c r="F36" s="87"/>
      <c r="G36" s="88">
        <f>I36-H36</f>
        <v>399.53800000000001</v>
      </c>
      <c r="H36" s="88">
        <v>65</v>
      </c>
      <c r="I36" s="88">
        <f>E36-J36</f>
        <v>464.53800000000001</v>
      </c>
      <c r="J36" s="88">
        <v>45</v>
      </c>
      <c r="K36" s="35"/>
      <c r="L36" s="35"/>
      <c r="M36" s="35"/>
      <c r="N36" s="35"/>
      <c r="O36" s="35"/>
    </row>
    <row r="37" spans="1:15" ht="16.5" x14ac:dyDescent="0.3">
      <c r="A37" s="75" t="s">
        <v>112</v>
      </c>
      <c r="B37" s="35"/>
      <c r="C37" s="50"/>
      <c r="D37" s="50"/>
      <c r="E37" s="50"/>
      <c r="F37" s="50"/>
      <c r="G37" s="50"/>
      <c r="H37" s="50"/>
      <c r="I37" s="35"/>
      <c r="J37" s="35"/>
      <c r="K37" s="35"/>
      <c r="L37" s="35"/>
      <c r="M37" s="35"/>
      <c r="N37" s="35"/>
      <c r="O37" s="35"/>
    </row>
    <row r="38" spans="1:15" ht="14.5" x14ac:dyDescent="0.35">
      <c r="A38" s="35" t="s">
        <v>159</v>
      </c>
      <c r="B38" s="51"/>
      <c r="C38" s="55"/>
      <c r="D38" s="51"/>
      <c r="E38" s="51"/>
      <c r="F38" s="51"/>
      <c r="G38" s="51"/>
      <c r="H38" s="51"/>
      <c r="I38" s="35"/>
      <c r="J38" s="35"/>
      <c r="K38" s="35"/>
      <c r="L38" s="35"/>
      <c r="M38" s="35"/>
      <c r="N38" s="35"/>
      <c r="O38" s="35"/>
    </row>
    <row r="39" spans="1:15" ht="14" x14ac:dyDescent="0.3">
      <c r="A39" s="38"/>
      <c r="B39" s="38"/>
      <c r="C39" s="38"/>
      <c r="D39" s="38"/>
      <c r="E39" s="38"/>
      <c r="F39" s="38"/>
      <c r="G39" s="38"/>
      <c r="H39" s="38"/>
      <c r="I39" s="35"/>
      <c r="J39" s="35"/>
      <c r="K39" s="35"/>
      <c r="L39" s="35"/>
      <c r="M39" s="35"/>
      <c r="N39" s="35"/>
      <c r="O39" s="35"/>
    </row>
    <row r="40" spans="1:15" ht="14" x14ac:dyDescent="0.3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 ht="14" x14ac:dyDescent="0.3">
      <c r="A41" s="34" t="s">
        <v>152</v>
      </c>
      <c r="B41" s="34"/>
      <c r="C41" s="34"/>
      <c r="D41" s="34"/>
      <c r="E41" s="34"/>
      <c r="F41" s="34"/>
      <c r="G41" s="34"/>
      <c r="H41" s="34"/>
      <c r="I41" s="34"/>
      <c r="J41" s="35"/>
      <c r="K41" s="35"/>
      <c r="L41" s="35"/>
      <c r="M41" s="35"/>
      <c r="N41" s="35"/>
      <c r="O41" s="34"/>
    </row>
    <row r="42" spans="1:15" ht="14" x14ac:dyDescent="0.3">
      <c r="A42" s="35"/>
      <c r="B42" s="169" t="s">
        <v>21</v>
      </c>
      <c r="C42" s="169"/>
      <c r="D42" s="37" t="s">
        <v>24</v>
      </c>
      <c r="E42" s="169" t="s">
        <v>81</v>
      </c>
      <c r="F42" s="169"/>
      <c r="G42" s="169"/>
      <c r="H42" s="169"/>
      <c r="I42" s="35"/>
      <c r="J42" s="169" t="s">
        <v>19</v>
      </c>
      <c r="K42" s="169"/>
      <c r="L42" s="169"/>
      <c r="M42" s="169"/>
      <c r="N42" s="169"/>
      <c r="O42" s="35"/>
    </row>
    <row r="43" spans="1:15" ht="14" x14ac:dyDescent="0.3">
      <c r="A43" s="35" t="s">
        <v>74</v>
      </c>
      <c r="B43" s="37" t="s">
        <v>22</v>
      </c>
      <c r="C43" s="37" t="s">
        <v>23</v>
      </c>
      <c r="D43" s="35"/>
      <c r="E43" s="37" t="s">
        <v>30</v>
      </c>
      <c r="F43" s="37"/>
      <c r="G43" s="37"/>
      <c r="H43" s="37"/>
      <c r="I43" s="35"/>
      <c r="J43" s="147" t="s">
        <v>9</v>
      </c>
      <c r="K43" s="37"/>
      <c r="L43" s="37" t="s">
        <v>88</v>
      </c>
      <c r="M43" s="37"/>
      <c r="N43" s="37"/>
      <c r="O43" s="37" t="s">
        <v>28</v>
      </c>
    </row>
    <row r="44" spans="1:15" ht="14" x14ac:dyDescent="0.3">
      <c r="A44" s="40" t="s">
        <v>76</v>
      </c>
      <c r="B44" s="41"/>
      <c r="C44" s="41"/>
      <c r="D44" s="41"/>
      <c r="E44" s="42" t="s">
        <v>27</v>
      </c>
      <c r="F44" s="42" t="s">
        <v>1</v>
      </c>
      <c r="G44" s="42" t="s">
        <v>31</v>
      </c>
      <c r="H44" s="42" t="s">
        <v>32</v>
      </c>
      <c r="I44" s="42"/>
      <c r="J44" s="42" t="s">
        <v>36</v>
      </c>
      <c r="K44" s="42" t="s">
        <v>34</v>
      </c>
      <c r="L44" s="42" t="s">
        <v>5</v>
      </c>
      <c r="M44" s="44" t="s">
        <v>4</v>
      </c>
      <c r="N44" s="42" t="s">
        <v>26</v>
      </c>
      <c r="O44" s="42" t="s">
        <v>85</v>
      </c>
    </row>
    <row r="45" spans="1:15" ht="14.5" x14ac:dyDescent="0.35">
      <c r="A45" s="35"/>
      <c r="B45" s="171" t="s">
        <v>83</v>
      </c>
      <c r="C45" s="170"/>
      <c r="D45" s="94" t="s">
        <v>70</v>
      </c>
      <c r="E45" s="170" t="s">
        <v>17</v>
      </c>
      <c r="F45" s="170"/>
      <c r="G45" s="170"/>
      <c r="H45" s="170"/>
      <c r="I45" s="170"/>
      <c r="J45" s="170"/>
      <c r="K45" s="170"/>
      <c r="L45" s="170"/>
      <c r="M45" s="170"/>
      <c r="N45" s="170"/>
      <c r="O45" s="170"/>
    </row>
    <row r="46" spans="1:15" ht="14" x14ac:dyDescent="0.3">
      <c r="A46" s="35"/>
      <c r="B46" s="37"/>
      <c r="C46" s="37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 ht="16.5" x14ac:dyDescent="0.3">
      <c r="A47" s="35" t="s">
        <v>140</v>
      </c>
      <c r="B47" s="82">
        <v>1425.5</v>
      </c>
      <c r="C47" s="82">
        <v>1373.5</v>
      </c>
      <c r="D47" s="82">
        <f>F47*1000/C47</f>
        <v>4001.4088096104842</v>
      </c>
      <c r="E47" s="82">
        <v>2717.08</v>
      </c>
      <c r="F47" s="82">
        <v>5495.9350000000004</v>
      </c>
      <c r="G47" s="92">
        <v>117.1242623755961</v>
      </c>
      <c r="H47" s="82">
        <f>SUM(E47:G47)</f>
        <v>8330.1392623755946</v>
      </c>
      <c r="I47" s="82"/>
      <c r="J47" s="82">
        <v>3099</v>
      </c>
      <c r="K47" s="82">
        <f>1.333*486.398</f>
        <v>648.36853400000007</v>
      </c>
      <c r="L47" s="84">
        <f>N47-J47-K47-M47</f>
        <v>962.05385708653807</v>
      </c>
      <c r="M47" s="84">
        <v>1199.6268712890562</v>
      </c>
      <c r="N47" s="82">
        <f>H47-O47</f>
        <v>5909.0492623755945</v>
      </c>
      <c r="O47" s="82">
        <v>2421.09</v>
      </c>
    </row>
    <row r="48" spans="1:15" ht="16.5" x14ac:dyDescent="0.3">
      <c r="A48" s="35" t="s">
        <v>144</v>
      </c>
      <c r="B48" s="82">
        <v>1432.7</v>
      </c>
      <c r="C48" s="82">
        <v>1389.7</v>
      </c>
      <c r="D48" s="82">
        <f>F48*1000/C48</f>
        <v>3933.5734331150607</v>
      </c>
      <c r="E48" s="82">
        <f>O47</f>
        <v>2421.09</v>
      </c>
      <c r="F48" s="82">
        <v>5466.4870000000001</v>
      </c>
      <c r="G48" s="92">
        <v>113.761</v>
      </c>
      <c r="H48" s="82">
        <f>SUM(E48:G48)</f>
        <v>8001.3380000000006</v>
      </c>
      <c r="I48" s="82"/>
      <c r="J48" s="82">
        <v>3214.3</v>
      </c>
      <c r="K48" s="82">
        <f>1.333*580.628</f>
        <v>773.977124</v>
      </c>
      <c r="L48" s="84">
        <f>N48-J48-K48-M48</f>
        <v>287.33884758693694</v>
      </c>
      <c r="M48" s="84">
        <v>1607.5340284130634</v>
      </c>
      <c r="N48" s="82">
        <f>H48-O48</f>
        <v>5883.1500000000005</v>
      </c>
      <c r="O48" s="82">
        <f>2118.188</f>
        <v>2118.1880000000001</v>
      </c>
    </row>
    <row r="49" spans="1:15" ht="16.5" x14ac:dyDescent="0.3">
      <c r="A49" s="34" t="s">
        <v>156</v>
      </c>
      <c r="B49" s="85">
        <v>1664.2</v>
      </c>
      <c r="C49" s="85">
        <v>1615.8</v>
      </c>
      <c r="D49" s="85">
        <f>F49*1000/C49</f>
        <v>3796.2000247555393</v>
      </c>
      <c r="E49" s="85">
        <f>O48</f>
        <v>2118.1880000000001</v>
      </c>
      <c r="F49" s="85">
        <v>6133.9</v>
      </c>
      <c r="G49" s="88">
        <v>115</v>
      </c>
      <c r="H49" s="85">
        <f>SUM(E49:G49)</f>
        <v>8367.0879999999997</v>
      </c>
      <c r="I49" s="85"/>
      <c r="J49" s="85">
        <v>3323</v>
      </c>
      <c r="K49" s="85">
        <v>800</v>
      </c>
      <c r="L49" s="88">
        <f>N49-J49-K49-M49</f>
        <v>752.08799999999974</v>
      </c>
      <c r="M49" s="88">
        <v>1500</v>
      </c>
      <c r="N49" s="85">
        <f>H49-O49</f>
        <v>6375.0879999999997</v>
      </c>
      <c r="O49" s="85">
        <v>1992</v>
      </c>
    </row>
    <row r="50" spans="1:15" ht="16.5" x14ac:dyDescent="0.3">
      <c r="A50" s="75" t="s">
        <v>112</v>
      </c>
      <c r="B50" s="35"/>
      <c r="C50" s="50"/>
      <c r="D50" s="50"/>
      <c r="E50" s="50"/>
      <c r="F50" s="50"/>
      <c r="G50" s="50"/>
      <c r="H50" s="50"/>
      <c r="I50" s="35"/>
      <c r="J50" s="35"/>
      <c r="K50" s="35"/>
      <c r="L50" s="35"/>
      <c r="M50" s="35"/>
      <c r="N50" s="35"/>
      <c r="O50" s="35"/>
    </row>
    <row r="51" spans="1:15" ht="14.5" x14ac:dyDescent="0.35">
      <c r="A51" s="35" t="s">
        <v>158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 ht="14.5" x14ac:dyDescent="0.35">
      <c r="A52" s="35" t="s">
        <v>164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5" ht="14" x14ac:dyDescent="0.3">
      <c r="A53" s="39" t="s">
        <v>20</v>
      </c>
      <c r="B53" s="148">
        <f ca="1">NOW()</f>
        <v>44237.660999884261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 ht="15.5" x14ac:dyDescent="0.35">
      <c r="G54" s="14"/>
      <c r="H54" s="14"/>
    </row>
    <row r="55" spans="1:15" ht="15.5" x14ac:dyDescent="0.35">
      <c r="G55" s="14"/>
      <c r="H55" s="14"/>
    </row>
    <row r="56" spans="1:15" ht="15.5" x14ac:dyDescent="0.35">
      <c r="G56" s="14"/>
      <c r="H56" s="14"/>
    </row>
    <row r="57" spans="1:15" ht="15.5" x14ac:dyDescent="0.35">
      <c r="G57" s="14"/>
      <c r="H57" s="14"/>
    </row>
  </sheetData>
  <mergeCells count="14">
    <mergeCell ref="G2:J2"/>
    <mergeCell ref="G16:I16"/>
    <mergeCell ref="B16:E16"/>
    <mergeCell ref="B2:E2"/>
    <mergeCell ref="B29:E29"/>
    <mergeCell ref="G29:I29"/>
    <mergeCell ref="B5:K5"/>
    <mergeCell ref="B42:C42"/>
    <mergeCell ref="B45:C45"/>
    <mergeCell ref="B32:J32"/>
    <mergeCell ref="B19:J19"/>
    <mergeCell ref="E45:O45"/>
    <mergeCell ref="E42:H42"/>
    <mergeCell ref="J42:N42"/>
  </mergeCells>
  <phoneticPr fontId="3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40"/>
  <sheetViews>
    <sheetView showGridLines="0" zoomScaleNormal="100" workbookViewId="0"/>
  </sheetViews>
  <sheetFormatPr defaultRowHeight="12.5" x14ac:dyDescent="0.25"/>
  <cols>
    <col min="1" max="3" width="11.7265625" customWidth="1"/>
    <col min="4" max="4" width="14.7265625" customWidth="1"/>
    <col min="5" max="5" width="12.54296875" customWidth="1"/>
    <col min="6" max="7" width="11.7265625" customWidth="1"/>
  </cols>
  <sheetData>
    <row r="1" spans="1:11" ht="15.65" customHeight="1" x14ac:dyDescent="0.3">
      <c r="A1" s="34" t="s">
        <v>45</v>
      </c>
      <c r="B1" s="34"/>
      <c r="C1" s="34"/>
      <c r="D1" s="34"/>
      <c r="E1" s="34"/>
      <c r="F1" s="34"/>
      <c r="G1" s="34"/>
      <c r="H1" s="1"/>
      <c r="I1" s="1"/>
      <c r="J1" s="1"/>
      <c r="K1" s="1"/>
    </row>
    <row r="2" spans="1:11" ht="15.65" customHeight="1" x14ac:dyDescent="0.3">
      <c r="A2" s="38" t="s">
        <v>11</v>
      </c>
      <c r="B2" s="76" t="s">
        <v>114</v>
      </c>
      <c r="C2" s="76" t="s">
        <v>115</v>
      </c>
      <c r="D2" s="76" t="s">
        <v>116</v>
      </c>
      <c r="E2" s="76" t="s">
        <v>117</v>
      </c>
      <c r="F2" s="76" t="s">
        <v>118</v>
      </c>
      <c r="G2" s="76" t="s">
        <v>119</v>
      </c>
      <c r="H2" s="1"/>
      <c r="I2" s="1"/>
      <c r="J2" s="1"/>
      <c r="K2" s="1"/>
    </row>
    <row r="3" spans="1:11" ht="15.65" customHeight="1" x14ac:dyDescent="0.3">
      <c r="A3" s="34" t="s">
        <v>12</v>
      </c>
      <c r="B3" s="43"/>
      <c r="C3" s="95"/>
      <c r="D3" s="95"/>
      <c r="E3" s="95"/>
      <c r="F3" s="95"/>
      <c r="G3" s="95"/>
      <c r="H3" s="1"/>
      <c r="I3" s="1"/>
      <c r="J3" s="1"/>
      <c r="K3" s="2"/>
    </row>
    <row r="4" spans="1:11" ht="14.5" x14ac:dyDescent="0.35">
      <c r="A4" s="96"/>
      <c r="B4" s="97" t="s">
        <v>68</v>
      </c>
      <c r="C4" s="97" t="s">
        <v>77</v>
      </c>
      <c r="D4" s="97" t="s">
        <v>94</v>
      </c>
      <c r="E4" s="97" t="s">
        <v>44</v>
      </c>
      <c r="F4" s="97" t="s">
        <v>67</v>
      </c>
      <c r="G4" s="97" t="s">
        <v>68</v>
      </c>
      <c r="H4" s="1"/>
      <c r="I4" s="2"/>
      <c r="J4" s="2"/>
      <c r="K4" s="2"/>
    </row>
    <row r="5" spans="1:11" ht="14" x14ac:dyDescent="0.3">
      <c r="A5" s="35"/>
      <c r="B5" s="35"/>
      <c r="C5" s="35"/>
      <c r="D5" s="37"/>
      <c r="E5" s="35"/>
      <c r="F5" s="35"/>
      <c r="G5" s="35"/>
      <c r="H5" s="1"/>
      <c r="I5" s="1"/>
      <c r="J5" s="1"/>
      <c r="K5" s="1"/>
    </row>
    <row r="6" spans="1:11" ht="14" x14ac:dyDescent="0.3">
      <c r="A6" s="35" t="s">
        <v>48</v>
      </c>
      <c r="B6" s="98">
        <v>11.3</v>
      </c>
      <c r="C6" s="98">
        <v>161</v>
      </c>
      <c r="D6" s="98">
        <v>23.3</v>
      </c>
      <c r="E6" s="98">
        <v>19.3</v>
      </c>
      <c r="F6" s="98">
        <v>22.5</v>
      </c>
      <c r="G6" s="98">
        <v>12.2</v>
      </c>
      <c r="H6" s="1"/>
      <c r="I6" s="3"/>
      <c r="J6" s="3"/>
      <c r="K6" s="3"/>
    </row>
    <row r="7" spans="1:11" ht="14" x14ac:dyDescent="0.3">
      <c r="A7" s="35" t="s">
        <v>59</v>
      </c>
      <c r="B7" s="98">
        <v>12.5</v>
      </c>
      <c r="C7" s="98">
        <v>260</v>
      </c>
      <c r="D7" s="98">
        <v>29.1</v>
      </c>
      <c r="E7" s="98">
        <v>24</v>
      </c>
      <c r="F7" s="98">
        <v>31.8</v>
      </c>
      <c r="G7" s="98">
        <v>13.9</v>
      </c>
      <c r="H7" s="1"/>
      <c r="I7" s="3"/>
      <c r="J7" s="3"/>
      <c r="K7" s="3"/>
    </row>
    <row r="8" spans="1:11" ht="14" x14ac:dyDescent="0.3">
      <c r="A8" s="35" t="s">
        <v>80</v>
      </c>
      <c r="B8" s="98">
        <v>14.4</v>
      </c>
      <c r="C8" s="98">
        <v>252</v>
      </c>
      <c r="D8" s="98">
        <v>25.4</v>
      </c>
      <c r="E8" s="98">
        <v>26.5</v>
      </c>
      <c r="F8" s="98">
        <v>30.1</v>
      </c>
      <c r="G8" s="98">
        <v>13.8</v>
      </c>
      <c r="H8" s="1"/>
      <c r="I8" s="3"/>
      <c r="J8" s="3"/>
      <c r="K8" s="3"/>
    </row>
    <row r="9" spans="1:11" ht="14" x14ac:dyDescent="0.3">
      <c r="A9" s="35" t="s">
        <v>87</v>
      </c>
      <c r="B9" s="98">
        <v>13</v>
      </c>
      <c r="C9" s="98">
        <v>246</v>
      </c>
      <c r="D9" s="98">
        <v>21.4</v>
      </c>
      <c r="E9" s="98">
        <v>20.6</v>
      </c>
      <c r="F9" s="98">
        <v>24.9</v>
      </c>
      <c r="G9" s="98">
        <v>13.8</v>
      </c>
      <c r="H9" s="1"/>
      <c r="I9" s="3"/>
      <c r="J9" s="3"/>
      <c r="K9" s="3"/>
    </row>
    <row r="10" spans="1:11" ht="14" x14ac:dyDescent="0.3">
      <c r="A10" s="35" t="s">
        <v>90</v>
      </c>
      <c r="B10" s="98">
        <v>10.1</v>
      </c>
      <c r="C10" s="98">
        <v>194</v>
      </c>
      <c r="D10" s="98">
        <v>21.7</v>
      </c>
      <c r="E10" s="98">
        <v>16.899999999999999</v>
      </c>
      <c r="F10" s="98">
        <v>22</v>
      </c>
      <c r="G10" s="98">
        <v>11.8</v>
      </c>
      <c r="H10" s="1"/>
      <c r="I10" s="3"/>
      <c r="J10" s="3"/>
      <c r="K10" s="3"/>
    </row>
    <row r="11" spans="1:11" ht="14" x14ac:dyDescent="0.3">
      <c r="A11" s="35" t="s">
        <v>91</v>
      </c>
      <c r="B11" s="98">
        <v>8.9499999999999993</v>
      </c>
      <c r="C11" s="98">
        <v>227</v>
      </c>
      <c r="D11" s="98">
        <v>19.600000000000001</v>
      </c>
      <c r="E11" s="98">
        <v>15.6</v>
      </c>
      <c r="F11" s="98">
        <v>19.3</v>
      </c>
      <c r="G11" s="98">
        <v>8.9499999999999993</v>
      </c>
      <c r="H11" s="1"/>
      <c r="I11" s="3"/>
      <c r="J11" s="3"/>
      <c r="K11" s="3"/>
    </row>
    <row r="12" spans="1:11" ht="14" x14ac:dyDescent="0.3">
      <c r="A12" s="35" t="s">
        <v>106</v>
      </c>
      <c r="B12" s="98">
        <v>9.4700000000000006</v>
      </c>
      <c r="C12" s="98">
        <v>195</v>
      </c>
      <c r="D12" s="98">
        <v>17.399999999999999</v>
      </c>
      <c r="E12" s="98">
        <v>16.600000000000001</v>
      </c>
      <c r="F12" s="98">
        <v>19.7</v>
      </c>
      <c r="G12" s="98">
        <v>8</v>
      </c>
      <c r="H12" s="1"/>
      <c r="I12" s="3"/>
      <c r="J12" s="3"/>
      <c r="K12" s="3"/>
    </row>
    <row r="13" spans="1:11" ht="14" x14ac:dyDescent="0.3">
      <c r="A13" s="35" t="s">
        <v>108</v>
      </c>
      <c r="B13" s="98">
        <v>9.33</v>
      </c>
      <c r="C13" s="98">
        <v>142</v>
      </c>
      <c r="D13" s="98">
        <v>17.2</v>
      </c>
      <c r="E13" s="98">
        <v>17.5</v>
      </c>
      <c r="F13" s="98">
        <v>22.9</v>
      </c>
      <c r="G13" s="98">
        <v>9.5299999999999994</v>
      </c>
      <c r="H13" s="1"/>
      <c r="I13" s="3"/>
      <c r="J13" s="3"/>
      <c r="K13" s="3"/>
    </row>
    <row r="14" spans="1:11" ht="14" x14ac:dyDescent="0.3">
      <c r="A14" s="35" t="s">
        <v>141</v>
      </c>
      <c r="B14" s="98">
        <v>8.48</v>
      </c>
      <c r="C14" s="98">
        <v>155</v>
      </c>
      <c r="D14" s="98">
        <v>17.399999999999999</v>
      </c>
      <c r="E14" s="98">
        <v>15.8</v>
      </c>
      <c r="F14" s="98">
        <v>21.5</v>
      </c>
      <c r="G14" s="98">
        <v>9.89</v>
      </c>
      <c r="H14" s="1"/>
      <c r="I14" s="7"/>
      <c r="J14" s="3"/>
      <c r="K14" s="3"/>
    </row>
    <row r="15" spans="1:11" ht="14" x14ac:dyDescent="0.3">
      <c r="A15" s="35" t="s">
        <v>145</v>
      </c>
      <c r="B15" s="98">
        <v>8.57</v>
      </c>
      <c r="C15" s="98">
        <v>161</v>
      </c>
      <c r="D15" s="98">
        <v>19.5</v>
      </c>
      <c r="E15" s="98">
        <v>14.8</v>
      </c>
      <c r="F15" s="98">
        <v>20.5</v>
      </c>
      <c r="G15" s="98">
        <v>9.15</v>
      </c>
      <c r="H15" s="1"/>
      <c r="I15" s="7"/>
      <c r="J15" s="3"/>
      <c r="K15" s="3"/>
    </row>
    <row r="16" spans="1:11" ht="16.5" x14ac:dyDescent="0.3">
      <c r="A16" s="35" t="s">
        <v>157</v>
      </c>
      <c r="B16" s="98">
        <v>11.15</v>
      </c>
      <c r="C16" s="98">
        <v>190</v>
      </c>
      <c r="D16" s="98">
        <v>19.7</v>
      </c>
      <c r="E16" s="98">
        <v>17.25</v>
      </c>
      <c r="F16" s="98">
        <v>21.5</v>
      </c>
      <c r="G16" s="98">
        <v>10.3</v>
      </c>
      <c r="H16" s="1"/>
      <c r="I16" s="7"/>
      <c r="J16" s="3"/>
      <c r="K16" s="3"/>
    </row>
    <row r="17" spans="1:11" ht="14" x14ac:dyDescent="0.3">
      <c r="A17" s="38"/>
      <c r="B17" s="100"/>
      <c r="C17" s="101"/>
      <c r="D17" s="102"/>
      <c r="E17" s="102"/>
      <c r="F17" s="99"/>
      <c r="G17" s="103"/>
      <c r="H17" s="3"/>
      <c r="I17" s="7"/>
      <c r="J17" s="3"/>
      <c r="K17" s="3"/>
    </row>
    <row r="18" spans="1:11" ht="14" x14ac:dyDescent="0.3">
      <c r="A18" s="61" t="s">
        <v>145</v>
      </c>
      <c r="B18" s="98"/>
      <c r="C18" s="98"/>
      <c r="D18" s="98"/>
      <c r="E18" s="98"/>
      <c r="F18" s="98"/>
      <c r="G18" s="98"/>
    </row>
    <row r="19" spans="1:11" ht="14" x14ac:dyDescent="0.3">
      <c r="A19" s="38" t="s">
        <v>63</v>
      </c>
      <c r="B19" s="98">
        <v>8.35</v>
      </c>
      <c r="C19" s="98">
        <v>148</v>
      </c>
      <c r="D19" s="98">
        <v>18.5</v>
      </c>
      <c r="E19" s="98">
        <v>14.2</v>
      </c>
      <c r="F19" s="98">
        <v>19.8</v>
      </c>
      <c r="G19" s="98">
        <v>8.84</v>
      </c>
    </row>
    <row r="20" spans="1:11" ht="14" x14ac:dyDescent="0.3">
      <c r="A20" s="38" t="s">
        <v>50</v>
      </c>
      <c r="B20" s="98">
        <v>8.6</v>
      </c>
      <c r="C20" s="98">
        <v>152</v>
      </c>
      <c r="D20" s="98">
        <v>17.5</v>
      </c>
      <c r="E20" s="98">
        <v>14.2</v>
      </c>
      <c r="F20" s="98">
        <v>20.399999999999999</v>
      </c>
      <c r="G20" s="98">
        <v>9.01</v>
      </c>
    </row>
    <row r="21" spans="1:11" ht="14" x14ac:dyDescent="0.3">
      <c r="A21" s="38" t="s">
        <v>51</v>
      </c>
      <c r="B21" s="98">
        <v>8.59</v>
      </c>
      <c r="C21" s="98">
        <v>162</v>
      </c>
      <c r="D21" s="98">
        <v>17.7</v>
      </c>
      <c r="E21" s="98">
        <v>14.3</v>
      </c>
      <c r="F21" s="98">
        <v>19.2</v>
      </c>
      <c r="G21" s="98">
        <v>8.6999999999999993</v>
      </c>
    </row>
    <row r="22" spans="1:11" ht="14" x14ac:dyDescent="0.3">
      <c r="A22" s="38" t="s">
        <v>52</v>
      </c>
      <c r="B22" s="98">
        <v>8.6999999999999993</v>
      </c>
      <c r="C22" s="98">
        <v>163</v>
      </c>
      <c r="D22" s="98">
        <v>17.8</v>
      </c>
      <c r="E22" s="98">
        <v>14.7</v>
      </c>
      <c r="F22" s="98">
        <v>19.600000000000001</v>
      </c>
      <c r="G22" s="98">
        <v>8.91</v>
      </c>
    </row>
    <row r="23" spans="1:11" ht="14" x14ac:dyDescent="0.3">
      <c r="A23" s="38" t="s">
        <v>53</v>
      </c>
      <c r="B23" s="98">
        <v>8.84</v>
      </c>
      <c r="C23" s="98">
        <v>161</v>
      </c>
      <c r="D23" s="98">
        <v>19.5</v>
      </c>
      <c r="E23" s="98">
        <v>16.100000000000001</v>
      </c>
      <c r="F23" s="98">
        <v>20.9</v>
      </c>
      <c r="G23" s="98">
        <v>8.9700000000000006</v>
      </c>
    </row>
    <row r="24" spans="1:11" ht="14" x14ac:dyDescent="0.3">
      <c r="A24" s="38" t="s">
        <v>54</v>
      </c>
      <c r="B24" s="98">
        <v>8.6</v>
      </c>
      <c r="C24" s="98">
        <v>190</v>
      </c>
      <c r="D24" s="98">
        <v>20.399999999999999</v>
      </c>
      <c r="E24" s="98">
        <v>16.100000000000001</v>
      </c>
      <c r="F24" s="98">
        <v>20.5</v>
      </c>
      <c r="G24" s="98">
        <v>10.4</v>
      </c>
    </row>
    <row r="25" spans="1:11" ht="14" x14ac:dyDescent="0.3">
      <c r="A25" s="38" t="s">
        <v>55</v>
      </c>
      <c r="B25" s="98">
        <v>8.4700000000000006</v>
      </c>
      <c r="C25" s="98" t="s">
        <v>10</v>
      </c>
      <c r="D25" s="98">
        <v>20.9</v>
      </c>
      <c r="E25" s="98">
        <v>15.7</v>
      </c>
      <c r="F25" s="98">
        <v>20.6</v>
      </c>
      <c r="G25" s="98">
        <v>10.7</v>
      </c>
    </row>
    <row r="26" spans="1:11" ht="14" x14ac:dyDescent="0.3">
      <c r="A26" s="38" t="s">
        <v>56</v>
      </c>
      <c r="B26" s="98">
        <v>8.35</v>
      </c>
      <c r="C26" s="98" t="s">
        <v>10</v>
      </c>
      <c r="D26" s="98">
        <v>20.3</v>
      </c>
      <c r="E26" s="98">
        <v>15.2</v>
      </c>
      <c r="F26" s="98">
        <v>20.6</v>
      </c>
      <c r="G26" s="98">
        <v>9.31</v>
      </c>
    </row>
    <row r="27" spans="1:11" ht="14" x14ac:dyDescent="0.3">
      <c r="A27" s="38" t="s">
        <v>57</v>
      </c>
      <c r="B27" s="98">
        <v>8.2799999999999994</v>
      </c>
      <c r="C27" s="98" t="s">
        <v>10</v>
      </c>
      <c r="D27" s="98">
        <v>20.5</v>
      </c>
      <c r="E27" s="98">
        <v>14.4</v>
      </c>
      <c r="F27" s="98">
        <v>21.1</v>
      </c>
      <c r="G27" s="98">
        <v>9.57</v>
      </c>
    </row>
    <row r="28" spans="1:11" ht="14" x14ac:dyDescent="0.3">
      <c r="A28" s="38" t="s">
        <v>58</v>
      </c>
      <c r="B28" s="98">
        <v>8.34</v>
      </c>
      <c r="C28" s="98" t="s">
        <v>10</v>
      </c>
      <c r="D28" s="98">
        <v>21.7</v>
      </c>
      <c r="E28" s="98">
        <v>15.2</v>
      </c>
      <c r="F28" s="98">
        <v>20.7</v>
      </c>
      <c r="G28" s="98">
        <v>10</v>
      </c>
    </row>
    <row r="29" spans="1:11" ht="14" x14ac:dyDescent="0.3">
      <c r="A29" s="38" t="s">
        <v>60</v>
      </c>
      <c r="B29" s="98">
        <v>8.5</v>
      </c>
      <c r="C29" s="98" t="s">
        <v>10</v>
      </c>
      <c r="D29" s="98">
        <v>23.7</v>
      </c>
      <c r="E29" s="98">
        <v>15.5</v>
      </c>
      <c r="F29" s="98">
        <v>20.7</v>
      </c>
      <c r="G29" s="98">
        <v>9.64</v>
      </c>
    </row>
    <row r="30" spans="1:11" ht="14" x14ac:dyDescent="0.3">
      <c r="A30" s="38" t="s">
        <v>61</v>
      </c>
      <c r="B30" s="98">
        <v>8.66</v>
      </c>
      <c r="C30" s="98">
        <v>155</v>
      </c>
      <c r="D30" s="98">
        <v>25.8</v>
      </c>
      <c r="E30" s="98">
        <v>15.1</v>
      </c>
      <c r="F30" s="98">
        <v>20.6</v>
      </c>
      <c r="G30" s="98">
        <v>8.56</v>
      </c>
    </row>
    <row r="31" spans="1:11" ht="14" x14ac:dyDescent="0.3">
      <c r="A31" s="38"/>
      <c r="B31" s="98"/>
      <c r="C31" s="98"/>
      <c r="D31" s="98"/>
      <c r="E31" s="98"/>
      <c r="F31" s="98"/>
      <c r="G31" s="98"/>
    </row>
    <row r="32" spans="1:11" ht="14" x14ac:dyDescent="0.3">
      <c r="A32" s="61" t="s">
        <v>168</v>
      </c>
      <c r="B32" s="98"/>
      <c r="C32" s="98"/>
      <c r="D32" s="98"/>
      <c r="E32" s="98"/>
      <c r="F32" s="98"/>
      <c r="G32" s="98"/>
    </row>
    <row r="33" spans="1:7" ht="14" x14ac:dyDescent="0.3">
      <c r="A33" s="38" t="s">
        <v>63</v>
      </c>
      <c r="B33" s="98">
        <v>9.24</v>
      </c>
      <c r="C33" s="98">
        <v>160</v>
      </c>
      <c r="D33" s="98">
        <v>23.7</v>
      </c>
      <c r="E33" s="98">
        <v>16.399999999999999</v>
      </c>
      <c r="F33" s="98">
        <v>20.5</v>
      </c>
      <c r="G33" s="98">
        <v>9.64</v>
      </c>
    </row>
    <row r="34" spans="1:7" ht="14" x14ac:dyDescent="0.3">
      <c r="A34" s="38" t="s">
        <v>50</v>
      </c>
      <c r="B34" s="98">
        <v>9.6300000000000008</v>
      </c>
      <c r="C34" s="98">
        <v>189</v>
      </c>
      <c r="D34" s="98">
        <v>19.100000000000001</v>
      </c>
      <c r="E34" s="98">
        <v>16.2</v>
      </c>
      <c r="F34" s="98">
        <v>20.9</v>
      </c>
      <c r="G34" s="98">
        <v>9.76</v>
      </c>
    </row>
    <row r="35" spans="1:7" ht="14" x14ac:dyDescent="0.3">
      <c r="A35" s="38" t="s">
        <v>51</v>
      </c>
      <c r="B35" s="98">
        <v>10.3</v>
      </c>
      <c r="C35" s="98">
        <v>199</v>
      </c>
      <c r="D35" s="98">
        <v>18.899999999999999</v>
      </c>
      <c r="E35" s="98">
        <v>18.100000000000001</v>
      </c>
      <c r="F35" s="98">
        <v>21.2</v>
      </c>
      <c r="G35" s="98">
        <v>10.7</v>
      </c>
    </row>
    <row r="36" spans="1:7" ht="14" x14ac:dyDescent="0.3">
      <c r="A36" s="34" t="s">
        <v>52</v>
      </c>
      <c r="B36" s="104">
        <v>10.5</v>
      </c>
      <c r="C36" s="104">
        <v>195</v>
      </c>
      <c r="D36" s="104">
        <v>19.2</v>
      </c>
      <c r="E36" s="104">
        <v>17.2</v>
      </c>
      <c r="F36" s="104">
        <v>20.399999999999999</v>
      </c>
      <c r="G36" s="104">
        <v>10.9</v>
      </c>
    </row>
    <row r="37" spans="1:7" ht="16.5" x14ac:dyDescent="0.3">
      <c r="A37" s="35" t="s">
        <v>120</v>
      </c>
      <c r="B37" s="35"/>
      <c r="C37" s="35"/>
      <c r="D37" s="35"/>
      <c r="E37" s="35"/>
      <c r="F37" s="35"/>
      <c r="G37" s="35"/>
    </row>
    <row r="38" spans="1:7" ht="14" x14ac:dyDescent="0.3">
      <c r="A38" s="35" t="s">
        <v>49</v>
      </c>
      <c r="B38" s="105"/>
      <c r="C38" s="105" t="s">
        <v>161</v>
      </c>
      <c r="D38" s="105"/>
      <c r="E38" s="105"/>
      <c r="F38" s="105"/>
      <c r="G38" s="105"/>
    </row>
    <row r="39" spans="1:7" ht="14.5" x14ac:dyDescent="0.35">
      <c r="A39" s="35" t="s">
        <v>121</v>
      </c>
      <c r="B39" s="35"/>
      <c r="C39" s="35"/>
      <c r="D39" s="35"/>
      <c r="E39" s="35"/>
      <c r="F39" s="35"/>
      <c r="G39" s="35"/>
    </row>
    <row r="40" spans="1:7" ht="14" x14ac:dyDescent="0.3">
      <c r="A40" s="39" t="s">
        <v>20</v>
      </c>
      <c r="B40" s="67">
        <f ca="1">NOW()</f>
        <v>44237.660999884261</v>
      </c>
      <c r="C40" s="35"/>
      <c r="D40" s="35"/>
      <c r="E40" s="35"/>
      <c r="F40" s="35"/>
      <c r="G40" s="35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I60"/>
  <sheetViews>
    <sheetView showGridLines="0" zoomScaleNormal="100" workbookViewId="0"/>
  </sheetViews>
  <sheetFormatPr defaultRowHeight="12.5" x14ac:dyDescent="0.25"/>
  <cols>
    <col min="1" max="2" width="11.7265625" customWidth="1"/>
    <col min="3" max="3" width="11.54296875" customWidth="1"/>
    <col min="4" max="4" width="13.7265625" customWidth="1"/>
    <col min="5" max="5" width="10.54296875" customWidth="1"/>
    <col min="6" max="7" width="10.7265625" customWidth="1"/>
    <col min="8" max="9" width="10.54296875" customWidth="1"/>
  </cols>
  <sheetData>
    <row r="1" spans="1:9" ht="14" x14ac:dyDescent="0.3">
      <c r="A1" s="34" t="s">
        <v>18</v>
      </c>
      <c r="B1" s="34"/>
      <c r="C1" s="34"/>
      <c r="D1" s="34"/>
      <c r="E1" s="34"/>
      <c r="F1" s="34"/>
      <c r="G1" s="34"/>
      <c r="H1" s="34"/>
      <c r="I1" s="35"/>
    </row>
    <row r="2" spans="1:9" ht="15.65" customHeight="1" x14ac:dyDescent="0.3">
      <c r="A2" s="106" t="s">
        <v>11</v>
      </c>
      <c r="B2" s="76" t="s">
        <v>38</v>
      </c>
      <c r="C2" s="76" t="s">
        <v>13</v>
      </c>
      <c r="D2" s="76" t="s">
        <v>79</v>
      </c>
      <c r="E2" s="107" t="s">
        <v>46</v>
      </c>
      <c r="F2" s="107" t="s">
        <v>39</v>
      </c>
      <c r="G2" s="76" t="s">
        <v>43</v>
      </c>
      <c r="H2" s="76" t="s">
        <v>122</v>
      </c>
      <c r="I2" s="108" t="s">
        <v>42</v>
      </c>
    </row>
    <row r="3" spans="1:9" ht="15.65" customHeight="1" x14ac:dyDescent="0.3">
      <c r="A3" s="80" t="s">
        <v>12</v>
      </c>
      <c r="B3" s="42" t="s">
        <v>123</v>
      </c>
      <c r="C3" s="42" t="s">
        <v>124</v>
      </c>
      <c r="D3" s="42" t="s">
        <v>125</v>
      </c>
      <c r="E3" s="42" t="s">
        <v>125</v>
      </c>
      <c r="F3" s="42" t="s">
        <v>126</v>
      </c>
      <c r="G3" s="42" t="s">
        <v>127</v>
      </c>
      <c r="H3" s="42"/>
      <c r="I3" s="42" t="s">
        <v>128</v>
      </c>
    </row>
    <row r="4" spans="1:9" ht="14.5" x14ac:dyDescent="0.35">
      <c r="A4" s="35"/>
      <c r="B4" s="54" t="s">
        <v>95</v>
      </c>
      <c r="C4" s="109"/>
      <c r="D4" s="109"/>
      <c r="E4" s="109"/>
      <c r="F4" s="109"/>
      <c r="G4" s="109"/>
      <c r="H4" s="109"/>
      <c r="I4" s="109"/>
    </row>
    <row r="5" spans="1:9" ht="14" x14ac:dyDescent="0.3">
      <c r="A5" s="35"/>
      <c r="B5" s="35"/>
      <c r="C5" s="35"/>
      <c r="D5" s="35"/>
      <c r="E5" s="35"/>
      <c r="F5" s="35"/>
      <c r="G5" s="35"/>
      <c r="H5" s="35"/>
      <c r="I5" s="35"/>
    </row>
    <row r="6" spans="1:9" ht="14" x14ac:dyDescent="0.3">
      <c r="A6" s="35" t="s">
        <v>48</v>
      </c>
      <c r="B6" s="98">
        <v>53.2</v>
      </c>
      <c r="C6" s="98">
        <v>54.5</v>
      </c>
      <c r="D6" s="98">
        <v>86.12</v>
      </c>
      <c r="E6" s="98">
        <v>58.68</v>
      </c>
      <c r="F6" s="98">
        <v>77.239999999999995</v>
      </c>
      <c r="G6" s="98">
        <v>60.76</v>
      </c>
      <c r="H6" s="98">
        <v>51.52</v>
      </c>
      <c r="I6" s="98">
        <v>51.34</v>
      </c>
    </row>
    <row r="7" spans="1:9" ht="14" x14ac:dyDescent="0.3">
      <c r="A7" s="35" t="s">
        <v>59</v>
      </c>
      <c r="B7" s="98">
        <v>51.9</v>
      </c>
      <c r="C7" s="98">
        <v>53.22</v>
      </c>
      <c r="D7" s="98">
        <v>83.2</v>
      </c>
      <c r="E7" s="98">
        <v>57.19</v>
      </c>
      <c r="F7" s="98">
        <v>100.15</v>
      </c>
      <c r="G7" s="98">
        <v>56.09</v>
      </c>
      <c r="H7" s="98">
        <v>48.11</v>
      </c>
      <c r="I7" s="98">
        <v>50.33</v>
      </c>
    </row>
    <row r="8" spans="1:9" ht="14" x14ac:dyDescent="0.3">
      <c r="A8" s="35" t="s">
        <v>80</v>
      </c>
      <c r="B8" s="98">
        <v>47.13</v>
      </c>
      <c r="C8" s="98">
        <v>48.6</v>
      </c>
      <c r="D8" s="98">
        <v>65.87</v>
      </c>
      <c r="E8" s="98">
        <v>56.17</v>
      </c>
      <c r="F8" s="98">
        <v>91.83</v>
      </c>
      <c r="G8" s="98">
        <v>46.66</v>
      </c>
      <c r="H8" s="98">
        <v>51.8</v>
      </c>
      <c r="I8" s="98">
        <v>43.24</v>
      </c>
    </row>
    <row r="9" spans="1:9" ht="14" x14ac:dyDescent="0.3">
      <c r="A9" s="35" t="s">
        <v>87</v>
      </c>
      <c r="B9" s="98">
        <v>38.229999999999997</v>
      </c>
      <c r="C9" s="98">
        <v>60.66</v>
      </c>
      <c r="D9" s="98">
        <v>59.12</v>
      </c>
      <c r="E9" s="98">
        <v>43.7</v>
      </c>
      <c r="F9" s="98">
        <v>68.23</v>
      </c>
      <c r="G9" s="98">
        <v>39.43</v>
      </c>
      <c r="H9" s="98">
        <v>43.93</v>
      </c>
      <c r="I9" s="98">
        <v>39.76</v>
      </c>
    </row>
    <row r="10" spans="1:9" ht="14" x14ac:dyDescent="0.3">
      <c r="A10" s="35" t="s">
        <v>90</v>
      </c>
      <c r="B10" s="98">
        <v>31.6</v>
      </c>
      <c r="C10" s="98">
        <v>45.74</v>
      </c>
      <c r="D10" s="98">
        <v>66.72</v>
      </c>
      <c r="E10" s="98">
        <v>37.81</v>
      </c>
      <c r="F10" s="98">
        <v>57.96</v>
      </c>
      <c r="G10" s="98">
        <v>37.479999999999997</v>
      </c>
      <c r="H10" s="98">
        <v>33.43</v>
      </c>
      <c r="I10" s="98">
        <v>31.36</v>
      </c>
    </row>
    <row r="11" spans="1:9" ht="14" x14ac:dyDescent="0.3">
      <c r="A11" s="35" t="s">
        <v>91</v>
      </c>
      <c r="B11" s="98">
        <v>29.86</v>
      </c>
      <c r="C11" s="98">
        <v>45.87</v>
      </c>
      <c r="D11" s="98">
        <v>57.81</v>
      </c>
      <c r="E11" s="98">
        <v>35.270000000000003</v>
      </c>
      <c r="F11" s="98">
        <v>58.26</v>
      </c>
      <c r="G11" s="98">
        <v>39.25</v>
      </c>
      <c r="H11" s="98">
        <v>32.229999999999997</v>
      </c>
      <c r="I11" s="98">
        <v>30.07</v>
      </c>
    </row>
    <row r="12" spans="1:9" ht="14" x14ac:dyDescent="0.3">
      <c r="A12" s="35" t="s">
        <v>106</v>
      </c>
      <c r="B12" s="98">
        <v>32.549999999999997</v>
      </c>
      <c r="C12" s="98">
        <v>40.92</v>
      </c>
      <c r="D12" s="98">
        <v>53.54</v>
      </c>
      <c r="E12" s="98">
        <v>38.729999999999997</v>
      </c>
      <c r="F12" s="98">
        <v>66.73</v>
      </c>
      <c r="G12" s="98">
        <v>37.43</v>
      </c>
      <c r="H12" s="98">
        <v>33.07</v>
      </c>
      <c r="I12" s="98">
        <v>34.75</v>
      </c>
    </row>
    <row r="13" spans="1:9" ht="14" x14ac:dyDescent="0.3">
      <c r="A13" s="35" t="s">
        <v>108</v>
      </c>
      <c r="B13" s="98">
        <v>30.04</v>
      </c>
      <c r="C13" s="98">
        <v>31.87</v>
      </c>
      <c r="D13" s="98">
        <v>54.57</v>
      </c>
      <c r="E13" s="98">
        <v>38.270000000000003</v>
      </c>
      <c r="F13" s="98">
        <v>66.72</v>
      </c>
      <c r="G13" s="98">
        <v>30.35</v>
      </c>
      <c r="H13" s="98">
        <v>34.159999999999997</v>
      </c>
      <c r="I13" s="98">
        <v>31.21</v>
      </c>
    </row>
    <row r="14" spans="1:9" ht="14" x14ac:dyDescent="0.3">
      <c r="A14" s="35" t="s">
        <v>141</v>
      </c>
      <c r="B14" s="98">
        <v>28.26</v>
      </c>
      <c r="C14" s="98">
        <v>35.14</v>
      </c>
      <c r="D14" s="98">
        <v>53.28</v>
      </c>
      <c r="E14" s="98">
        <v>36.090000000000003</v>
      </c>
      <c r="F14" s="98">
        <v>64.72</v>
      </c>
      <c r="G14" s="98">
        <v>26.93</v>
      </c>
      <c r="H14" s="98">
        <v>31.65</v>
      </c>
      <c r="I14" s="98">
        <v>33.11</v>
      </c>
    </row>
    <row r="15" spans="1:9" ht="16.5" x14ac:dyDescent="0.3">
      <c r="A15" s="35" t="s">
        <v>143</v>
      </c>
      <c r="B15" s="98">
        <v>29.67</v>
      </c>
      <c r="C15" s="98">
        <v>40.18</v>
      </c>
      <c r="D15" s="98">
        <v>65.03</v>
      </c>
      <c r="E15" s="98">
        <v>37.869999999999997</v>
      </c>
      <c r="F15" s="98">
        <v>65.569999999999993</v>
      </c>
      <c r="G15" s="98">
        <v>39.47</v>
      </c>
      <c r="H15" s="98">
        <v>35.75</v>
      </c>
      <c r="I15" s="98">
        <v>38.369999999999997</v>
      </c>
    </row>
    <row r="16" spans="1:9" ht="16.5" x14ac:dyDescent="0.3">
      <c r="A16" s="35" t="s">
        <v>157</v>
      </c>
      <c r="B16" s="98">
        <v>40</v>
      </c>
      <c r="C16" s="98">
        <v>58</v>
      </c>
      <c r="D16" s="98">
        <v>69</v>
      </c>
      <c r="E16" s="98">
        <v>51</v>
      </c>
      <c r="F16" s="98">
        <v>96</v>
      </c>
      <c r="G16" s="98">
        <v>44</v>
      </c>
      <c r="H16" s="98">
        <v>43.5</v>
      </c>
      <c r="I16" s="98">
        <v>39</v>
      </c>
    </row>
    <row r="17" spans="1:9" ht="14" x14ac:dyDescent="0.3">
      <c r="A17" s="35"/>
      <c r="B17" s="51"/>
      <c r="C17" s="101"/>
      <c r="D17" s="110"/>
      <c r="E17" s="110"/>
      <c r="F17" s="110"/>
      <c r="G17" s="110"/>
      <c r="H17" s="35"/>
      <c r="I17" s="35"/>
    </row>
    <row r="18" spans="1:9" ht="14" x14ac:dyDescent="0.3">
      <c r="A18" s="35" t="s">
        <v>145</v>
      </c>
      <c r="B18" s="98"/>
      <c r="C18" s="98"/>
      <c r="D18" s="98"/>
      <c r="E18" s="98"/>
      <c r="F18" s="98"/>
      <c r="G18" s="98"/>
      <c r="H18" s="98"/>
      <c r="I18" s="98"/>
    </row>
    <row r="19" spans="1:9" ht="14" x14ac:dyDescent="0.3">
      <c r="A19" s="38" t="s">
        <v>50</v>
      </c>
      <c r="B19" s="98">
        <v>30.14</v>
      </c>
      <c r="C19" s="98">
        <v>37.94</v>
      </c>
      <c r="D19" s="98">
        <v>56</v>
      </c>
      <c r="E19" s="98">
        <v>36.31</v>
      </c>
      <c r="F19" s="98">
        <v>61.5</v>
      </c>
      <c r="G19" s="98">
        <v>28.3</v>
      </c>
      <c r="H19" s="98" t="s">
        <v>10</v>
      </c>
      <c r="I19" s="98" t="s">
        <v>10</v>
      </c>
    </row>
    <row r="20" spans="1:9" ht="14" x14ac:dyDescent="0.3">
      <c r="A20" s="38" t="s">
        <v>51</v>
      </c>
      <c r="B20" s="98">
        <v>30.62</v>
      </c>
      <c r="C20" s="98">
        <v>38.4</v>
      </c>
      <c r="D20" s="98">
        <v>56</v>
      </c>
      <c r="E20" s="98">
        <v>36.15</v>
      </c>
      <c r="F20" s="98">
        <v>63.1</v>
      </c>
      <c r="G20" s="98">
        <v>30.36</v>
      </c>
      <c r="H20" s="98" t="s">
        <v>10</v>
      </c>
      <c r="I20" s="98">
        <v>35</v>
      </c>
    </row>
    <row r="21" spans="1:9" ht="14" x14ac:dyDescent="0.3">
      <c r="A21" s="38" t="s">
        <v>52</v>
      </c>
      <c r="B21" s="98">
        <v>32.270000000000003</v>
      </c>
      <c r="C21" s="98">
        <v>40.25</v>
      </c>
      <c r="D21" s="98">
        <v>76</v>
      </c>
      <c r="E21" s="98">
        <v>38.06</v>
      </c>
      <c r="F21" s="98">
        <v>60.13</v>
      </c>
      <c r="G21" s="98">
        <v>31.25</v>
      </c>
      <c r="H21" s="98" t="s">
        <v>10</v>
      </c>
      <c r="I21" s="98" t="s">
        <v>10</v>
      </c>
    </row>
    <row r="22" spans="1:9" ht="14" x14ac:dyDescent="0.3">
      <c r="A22" s="38" t="s">
        <v>53</v>
      </c>
      <c r="B22" s="98">
        <v>33.04</v>
      </c>
      <c r="C22" s="98">
        <v>40.1</v>
      </c>
      <c r="D22" s="98">
        <v>70</v>
      </c>
      <c r="E22" s="98">
        <v>37.9</v>
      </c>
      <c r="F22" s="98">
        <v>59</v>
      </c>
      <c r="G22" s="98">
        <v>33.299999999999997</v>
      </c>
      <c r="H22" s="98" t="s">
        <v>10</v>
      </c>
      <c r="I22" s="98">
        <v>36.14</v>
      </c>
    </row>
    <row r="23" spans="1:9" ht="14" x14ac:dyDescent="0.3">
      <c r="A23" s="38" t="s">
        <v>54</v>
      </c>
      <c r="B23" s="98">
        <v>30.26</v>
      </c>
      <c r="C23" s="98">
        <v>38.5</v>
      </c>
      <c r="D23" s="98">
        <v>70</v>
      </c>
      <c r="E23" s="98">
        <v>35.5</v>
      </c>
      <c r="F23" s="98">
        <v>59</v>
      </c>
      <c r="G23" s="98">
        <v>36</v>
      </c>
      <c r="H23" s="98" t="s">
        <v>10</v>
      </c>
      <c r="I23" s="98">
        <v>38.21</v>
      </c>
    </row>
    <row r="24" spans="1:9" ht="14" x14ac:dyDescent="0.3">
      <c r="A24" s="38" t="s">
        <v>55</v>
      </c>
      <c r="B24" s="98">
        <v>27.04</v>
      </c>
      <c r="C24" s="98">
        <v>36.19</v>
      </c>
      <c r="D24" s="98">
        <v>76</v>
      </c>
      <c r="E24" s="98">
        <v>32.880000000000003</v>
      </c>
      <c r="F24" s="98">
        <v>59.75</v>
      </c>
      <c r="G24" s="98">
        <v>36.94</v>
      </c>
      <c r="H24" s="98" t="s">
        <v>10</v>
      </c>
      <c r="I24" s="98">
        <v>35.5</v>
      </c>
    </row>
    <row r="25" spans="1:9" ht="14" x14ac:dyDescent="0.3">
      <c r="A25" s="38" t="s">
        <v>56</v>
      </c>
      <c r="B25" s="98">
        <v>25.69</v>
      </c>
      <c r="C25" s="98">
        <v>37.31</v>
      </c>
      <c r="D25" s="98">
        <v>76</v>
      </c>
      <c r="E25" s="98">
        <v>32.380000000000003</v>
      </c>
      <c r="F25" s="98">
        <v>59.5</v>
      </c>
      <c r="G25" s="98">
        <v>44.88</v>
      </c>
      <c r="H25" s="98">
        <v>32</v>
      </c>
      <c r="I25" s="98">
        <v>37.18</v>
      </c>
    </row>
    <row r="26" spans="1:9" ht="14" x14ac:dyDescent="0.3">
      <c r="A26" s="38" t="s">
        <v>57</v>
      </c>
      <c r="B26" s="98">
        <v>25.27</v>
      </c>
      <c r="C26" s="98">
        <v>37.200000000000003</v>
      </c>
      <c r="D26" s="98">
        <v>74</v>
      </c>
      <c r="E26" s="98">
        <v>32.4</v>
      </c>
      <c r="F26" s="98">
        <v>62.1</v>
      </c>
      <c r="G26" s="98">
        <v>47.64</v>
      </c>
      <c r="H26" s="98">
        <v>35.5</v>
      </c>
      <c r="I26" s="98">
        <v>43.95</v>
      </c>
    </row>
    <row r="27" spans="1:9" ht="14" x14ac:dyDescent="0.3">
      <c r="A27" s="38" t="s">
        <v>58</v>
      </c>
      <c r="B27" s="98">
        <v>26.61</v>
      </c>
      <c r="C27" s="98">
        <v>36.75</v>
      </c>
      <c r="D27" s="98">
        <v>56</v>
      </c>
      <c r="E27" s="98">
        <v>36.630000000000003</v>
      </c>
      <c r="F27" s="98">
        <v>84.75</v>
      </c>
      <c r="G27" s="98">
        <v>51.34</v>
      </c>
      <c r="H27" s="98">
        <v>36.5</v>
      </c>
      <c r="I27" s="98">
        <v>41.92</v>
      </c>
    </row>
    <row r="28" spans="1:9" ht="14" x14ac:dyDescent="0.3">
      <c r="A28" s="38" t="s">
        <v>60</v>
      </c>
      <c r="B28" s="98">
        <v>28.71</v>
      </c>
      <c r="C28" s="98">
        <v>43</v>
      </c>
      <c r="D28" s="98">
        <v>56.4</v>
      </c>
      <c r="E28" s="98">
        <v>40.5</v>
      </c>
      <c r="F28" s="98">
        <v>85</v>
      </c>
      <c r="G28" s="98">
        <v>45.45</v>
      </c>
      <c r="H28" s="98" t="s">
        <v>10</v>
      </c>
      <c r="I28" s="98">
        <v>39.43</v>
      </c>
    </row>
    <row r="29" spans="1:9" ht="14" x14ac:dyDescent="0.3">
      <c r="A29" s="38" t="s">
        <v>61</v>
      </c>
      <c r="B29" s="98">
        <v>32.130000000000003</v>
      </c>
      <c r="C29" s="98">
        <v>46.81</v>
      </c>
      <c r="D29" s="98">
        <v>57</v>
      </c>
      <c r="E29" s="98">
        <v>47.81</v>
      </c>
      <c r="F29" s="98">
        <v>90</v>
      </c>
      <c r="G29" s="98">
        <v>44.75</v>
      </c>
      <c r="H29" s="98">
        <v>39</v>
      </c>
      <c r="I29" s="98">
        <v>39.33</v>
      </c>
    </row>
    <row r="30" spans="1:9" ht="14" x14ac:dyDescent="0.3">
      <c r="A30" s="38" t="s">
        <v>63</v>
      </c>
      <c r="B30" s="98">
        <v>34.200000000000003</v>
      </c>
      <c r="C30" s="98">
        <v>49.69</v>
      </c>
      <c r="D30" s="98">
        <v>57</v>
      </c>
      <c r="E30" s="98">
        <v>47.94</v>
      </c>
      <c r="F30" s="98">
        <v>90</v>
      </c>
      <c r="G30" s="98">
        <v>43.38</v>
      </c>
      <c r="H30" s="98" t="s">
        <v>10</v>
      </c>
      <c r="I30" s="98">
        <v>37</v>
      </c>
    </row>
    <row r="31" spans="1:9" ht="14" x14ac:dyDescent="0.3">
      <c r="A31" s="38"/>
      <c r="B31" s="98"/>
      <c r="C31" s="98"/>
      <c r="D31" s="98"/>
      <c r="E31" s="98"/>
      <c r="F31" s="98"/>
      <c r="G31" s="98"/>
      <c r="H31" s="98"/>
      <c r="I31" s="98"/>
    </row>
    <row r="32" spans="1:9" ht="14" x14ac:dyDescent="0.3">
      <c r="A32" s="35" t="s">
        <v>168</v>
      </c>
      <c r="B32" s="98"/>
      <c r="C32" s="98"/>
      <c r="D32" s="98"/>
      <c r="E32" s="98"/>
      <c r="F32" s="98"/>
      <c r="G32" s="98"/>
      <c r="H32" s="98"/>
      <c r="I32" s="98"/>
    </row>
    <row r="33" spans="1:9" ht="14" x14ac:dyDescent="0.3">
      <c r="A33" s="38" t="s">
        <v>50</v>
      </c>
      <c r="B33" s="98">
        <v>33.92</v>
      </c>
      <c r="C33" s="98">
        <v>48.35</v>
      </c>
      <c r="D33" s="98">
        <v>57</v>
      </c>
      <c r="E33" s="98">
        <v>44.35</v>
      </c>
      <c r="F33" s="98">
        <v>93</v>
      </c>
      <c r="G33" s="98">
        <v>43.15</v>
      </c>
      <c r="H33" s="98" t="s">
        <v>10</v>
      </c>
      <c r="I33" s="98">
        <v>35.57</v>
      </c>
    </row>
    <row r="34" spans="1:9" ht="14" x14ac:dyDescent="0.3">
      <c r="A34" s="38" t="s">
        <v>51</v>
      </c>
      <c r="B34" s="98">
        <v>37.79</v>
      </c>
      <c r="C34" s="98">
        <v>54.44</v>
      </c>
      <c r="D34" s="98" t="s">
        <v>10</v>
      </c>
      <c r="E34" s="98">
        <v>49.5</v>
      </c>
      <c r="F34" s="98">
        <v>98.75</v>
      </c>
      <c r="G34" s="98">
        <v>42.53</v>
      </c>
      <c r="H34" s="98">
        <v>41</v>
      </c>
      <c r="I34" s="98">
        <v>33.5</v>
      </c>
    </row>
    <row r="35" spans="1:9" ht="14" x14ac:dyDescent="0.3">
      <c r="A35" s="38" t="s">
        <v>52</v>
      </c>
      <c r="B35" s="98">
        <v>40.85</v>
      </c>
      <c r="C35" s="98">
        <v>59.2</v>
      </c>
      <c r="D35" s="98" t="s">
        <v>10</v>
      </c>
      <c r="E35" s="98">
        <v>51.65</v>
      </c>
      <c r="F35" s="98">
        <v>100</v>
      </c>
      <c r="G35" s="98">
        <v>41.48</v>
      </c>
      <c r="H35" s="98">
        <v>41</v>
      </c>
      <c r="I35" s="98">
        <v>36.380000000000003</v>
      </c>
    </row>
    <row r="36" spans="1:9" ht="14" x14ac:dyDescent="0.3">
      <c r="A36" s="34" t="s">
        <v>53</v>
      </c>
      <c r="B36" s="104">
        <v>44.31</v>
      </c>
      <c r="C36" s="104">
        <v>63.19</v>
      </c>
      <c r="D36" s="104" t="s">
        <v>10</v>
      </c>
      <c r="E36" s="104">
        <v>53.31</v>
      </c>
      <c r="F36" s="104">
        <v>90</v>
      </c>
      <c r="G36" s="104">
        <v>44.23</v>
      </c>
      <c r="H36" s="104" t="s">
        <v>10</v>
      </c>
      <c r="I36" s="104">
        <v>47.02</v>
      </c>
    </row>
    <row r="37" spans="1:9" ht="16.5" x14ac:dyDescent="0.3">
      <c r="A37" s="75" t="s">
        <v>137</v>
      </c>
      <c r="B37" s="111"/>
      <c r="C37" s="111"/>
      <c r="D37" s="111"/>
      <c r="E37" s="111"/>
      <c r="F37" s="111"/>
      <c r="G37" s="111"/>
      <c r="H37" s="111"/>
      <c r="I37" s="111"/>
    </row>
    <row r="38" spans="1:9" ht="16.5" x14ac:dyDescent="0.3">
      <c r="A38" s="35" t="s">
        <v>138</v>
      </c>
      <c r="B38" s="111"/>
      <c r="C38" s="111"/>
      <c r="D38" s="111"/>
      <c r="E38" s="111"/>
      <c r="F38" s="111"/>
      <c r="G38" s="111"/>
      <c r="H38" s="111"/>
      <c r="I38" s="111"/>
    </row>
    <row r="39" spans="1:9" ht="14.5" x14ac:dyDescent="0.35">
      <c r="A39" s="35" t="s">
        <v>160</v>
      </c>
      <c r="B39" s="35"/>
      <c r="C39" s="35"/>
      <c r="D39" s="35"/>
      <c r="E39" s="35"/>
      <c r="F39" s="111"/>
      <c r="G39" s="35"/>
      <c r="H39" s="35"/>
      <c r="I39" s="35"/>
    </row>
    <row r="40" spans="1:9" ht="14" x14ac:dyDescent="0.3">
      <c r="A40" s="39" t="s">
        <v>20</v>
      </c>
      <c r="B40" s="67">
        <f ca="1">NOW()</f>
        <v>44237.660999884261</v>
      </c>
      <c r="C40" s="35"/>
      <c r="D40" s="35"/>
      <c r="E40" s="35"/>
      <c r="F40" s="35"/>
      <c r="G40" s="35"/>
      <c r="H40" s="35"/>
      <c r="I40" s="35"/>
    </row>
    <row r="41" spans="1:9" ht="15.5" x14ac:dyDescent="0.35">
      <c r="C41" s="14"/>
      <c r="G41" s="14"/>
      <c r="H41" s="14"/>
      <c r="I41" s="14"/>
    </row>
    <row r="42" spans="1:9" ht="15.5" x14ac:dyDescent="0.35">
      <c r="C42" s="14"/>
      <c r="G42" s="14"/>
      <c r="H42" s="14"/>
      <c r="I42" s="14"/>
    </row>
    <row r="43" spans="1:9" ht="15.5" x14ac:dyDescent="0.35">
      <c r="C43" s="14"/>
      <c r="G43" s="14"/>
      <c r="H43" s="14"/>
      <c r="I43" s="14"/>
    </row>
    <row r="44" spans="1:9" ht="15.5" x14ac:dyDescent="0.35">
      <c r="C44" s="14"/>
      <c r="G44" s="14"/>
      <c r="H44" s="14"/>
      <c r="I44" s="14"/>
    </row>
    <row r="45" spans="1:9" ht="15.5" x14ac:dyDescent="0.35">
      <c r="C45" s="14"/>
      <c r="G45" s="14"/>
      <c r="H45" s="14"/>
      <c r="I45" s="14"/>
    </row>
    <row r="46" spans="1:9" ht="15.5" x14ac:dyDescent="0.35">
      <c r="C46" s="14"/>
      <c r="G46" s="14"/>
      <c r="H46" s="14"/>
      <c r="I46" s="14"/>
    </row>
    <row r="47" spans="1:9" ht="15.5" x14ac:dyDescent="0.35">
      <c r="C47" s="14"/>
      <c r="G47" s="14"/>
      <c r="H47" s="14"/>
      <c r="I47" s="14"/>
    </row>
    <row r="48" spans="1:9" ht="15.5" x14ac:dyDescent="0.35">
      <c r="C48" s="14"/>
      <c r="G48" s="14"/>
      <c r="H48" s="14"/>
      <c r="I48" s="14"/>
    </row>
    <row r="49" spans="3:9" ht="15.5" x14ac:dyDescent="0.35">
      <c r="C49" s="14"/>
      <c r="G49" s="14"/>
      <c r="H49" s="14"/>
      <c r="I49" s="14"/>
    </row>
    <row r="50" spans="3:9" ht="15.5" x14ac:dyDescent="0.35">
      <c r="C50" s="14"/>
      <c r="G50" s="14"/>
      <c r="H50" s="14"/>
      <c r="I50" s="14"/>
    </row>
    <row r="51" spans="3:9" ht="15.5" x14ac:dyDescent="0.35">
      <c r="C51" s="14"/>
      <c r="G51" s="14"/>
      <c r="H51" s="14"/>
      <c r="I51" s="14"/>
    </row>
    <row r="52" spans="3:9" ht="15.5" x14ac:dyDescent="0.35">
      <c r="C52" s="14"/>
      <c r="G52" s="14"/>
      <c r="H52" s="14"/>
      <c r="I52" s="14"/>
    </row>
    <row r="53" spans="3:9" ht="15.5" x14ac:dyDescent="0.35">
      <c r="C53" s="14"/>
      <c r="G53" s="14"/>
      <c r="H53" s="14"/>
      <c r="I53" s="14"/>
    </row>
    <row r="54" spans="3:9" ht="15.5" x14ac:dyDescent="0.35">
      <c r="C54" s="14"/>
      <c r="G54" s="14"/>
      <c r="H54" s="14"/>
      <c r="I54" s="14"/>
    </row>
    <row r="55" spans="3:9" ht="15.5" x14ac:dyDescent="0.35">
      <c r="C55" s="14"/>
      <c r="G55" s="14"/>
      <c r="H55" s="14"/>
      <c r="I55" s="14"/>
    </row>
    <row r="56" spans="3:9" ht="15.5" x14ac:dyDescent="0.35">
      <c r="C56" s="14"/>
      <c r="G56" s="14"/>
      <c r="H56" s="14"/>
      <c r="I56" s="14"/>
    </row>
    <row r="57" spans="3:9" ht="15.5" x14ac:dyDescent="0.35">
      <c r="C57" s="14"/>
      <c r="H57" s="14"/>
      <c r="I57" s="14"/>
    </row>
    <row r="58" spans="3:9" ht="15.5" x14ac:dyDescent="0.35">
      <c r="C58" s="14"/>
      <c r="H58" s="14"/>
      <c r="I58" s="14"/>
    </row>
    <row r="59" spans="3:9" ht="15.5" x14ac:dyDescent="0.35">
      <c r="C59" s="14"/>
      <c r="F59" s="16"/>
      <c r="H59" s="14"/>
      <c r="I59" s="14"/>
    </row>
    <row r="60" spans="3:9" ht="15.5" x14ac:dyDescent="0.35">
      <c r="F60" s="16"/>
      <c r="H60" s="14"/>
      <c r="I60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M52"/>
  <sheetViews>
    <sheetView showGridLines="0" zoomScaleNormal="100" workbookViewId="0"/>
  </sheetViews>
  <sheetFormatPr defaultRowHeight="12.5" x14ac:dyDescent="0.25"/>
  <cols>
    <col min="1" max="1" width="11.7265625" customWidth="1"/>
    <col min="2" max="7" width="13.7265625" customWidth="1"/>
    <col min="8" max="8" width="10.08984375" bestFit="1" customWidth="1"/>
  </cols>
  <sheetData>
    <row r="1" spans="1:7" ht="14" x14ac:dyDescent="0.3">
      <c r="A1" s="34" t="s">
        <v>37</v>
      </c>
      <c r="B1" s="34"/>
      <c r="C1" s="34"/>
      <c r="D1" s="34"/>
      <c r="E1" s="34"/>
      <c r="F1" s="34"/>
      <c r="G1" s="34"/>
    </row>
    <row r="2" spans="1:7" ht="15.65" customHeight="1" x14ac:dyDescent="0.3">
      <c r="A2" s="38" t="s">
        <v>11</v>
      </c>
      <c r="B2" s="76" t="s">
        <v>38</v>
      </c>
      <c r="C2" s="112" t="s">
        <v>13</v>
      </c>
      <c r="D2" s="112" t="s">
        <v>79</v>
      </c>
      <c r="E2" s="112" t="s">
        <v>39</v>
      </c>
      <c r="F2" s="76" t="s">
        <v>40</v>
      </c>
      <c r="G2" s="37" t="s">
        <v>41</v>
      </c>
    </row>
    <row r="3" spans="1:7" ht="15.65" customHeight="1" x14ac:dyDescent="0.3">
      <c r="A3" s="34" t="s">
        <v>12</v>
      </c>
      <c r="B3" s="42" t="s">
        <v>129</v>
      </c>
      <c r="C3" s="42" t="s">
        <v>130</v>
      </c>
      <c r="D3" s="42" t="s">
        <v>131</v>
      </c>
      <c r="E3" s="42" t="s">
        <v>132</v>
      </c>
      <c r="F3" s="42" t="s">
        <v>133</v>
      </c>
      <c r="G3" s="42" t="s">
        <v>134</v>
      </c>
    </row>
    <row r="4" spans="1:7" ht="14.5" x14ac:dyDescent="0.35">
      <c r="A4" s="35"/>
      <c r="B4" s="54" t="s">
        <v>96</v>
      </c>
      <c r="C4" s="109"/>
      <c r="D4" s="109"/>
      <c r="E4" s="109"/>
      <c r="F4" s="109"/>
      <c r="G4" s="109"/>
    </row>
    <row r="5" spans="1:7" ht="14" x14ac:dyDescent="0.3">
      <c r="A5" s="35"/>
      <c r="B5" s="35"/>
      <c r="C5" s="35"/>
      <c r="D5" s="35"/>
      <c r="E5" s="35"/>
      <c r="F5" s="35"/>
      <c r="G5" s="35"/>
    </row>
    <row r="6" spans="1:7" ht="14" x14ac:dyDescent="0.3">
      <c r="A6" s="35" t="s">
        <v>48</v>
      </c>
      <c r="B6" s="98">
        <v>345.52</v>
      </c>
      <c r="C6" s="98">
        <v>273.83999999999997</v>
      </c>
      <c r="D6" s="98">
        <v>219.72</v>
      </c>
      <c r="E6" s="113" t="s">
        <v>10</v>
      </c>
      <c r="F6" s="98">
        <v>263.63</v>
      </c>
      <c r="G6" s="98">
        <v>240.65</v>
      </c>
    </row>
    <row r="7" spans="1:7" ht="14" x14ac:dyDescent="0.3">
      <c r="A7" s="35" t="s">
        <v>59</v>
      </c>
      <c r="B7" s="98">
        <v>393.53</v>
      </c>
      <c r="C7" s="98">
        <v>275.13</v>
      </c>
      <c r="D7" s="98">
        <v>246.75</v>
      </c>
      <c r="E7" s="113" t="s">
        <v>10</v>
      </c>
      <c r="F7" s="98">
        <v>307.58999999999997</v>
      </c>
      <c r="G7" s="98">
        <v>265.68</v>
      </c>
    </row>
    <row r="8" spans="1:7" ht="14" x14ac:dyDescent="0.3">
      <c r="A8" s="35" t="s">
        <v>80</v>
      </c>
      <c r="B8" s="98">
        <v>468.11</v>
      </c>
      <c r="C8" s="98">
        <v>331.52</v>
      </c>
      <c r="D8" s="98">
        <v>241.57</v>
      </c>
      <c r="E8" s="113" t="s">
        <v>10</v>
      </c>
      <c r="F8" s="98">
        <v>354.22</v>
      </c>
      <c r="G8" s="98">
        <v>329.31</v>
      </c>
    </row>
    <row r="9" spans="1:7" ht="14" x14ac:dyDescent="0.3">
      <c r="A9" s="35" t="s">
        <v>87</v>
      </c>
      <c r="B9" s="98">
        <v>489.94</v>
      </c>
      <c r="C9" s="98">
        <v>377.71</v>
      </c>
      <c r="D9" s="98">
        <v>238.87</v>
      </c>
      <c r="E9" s="113" t="s">
        <v>10</v>
      </c>
      <c r="F9" s="98">
        <v>359.7</v>
      </c>
      <c r="G9" s="98">
        <v>337.23</v>
      </c>
    </row>
    <row r="10" spans="1:7" ht="14" x14ac:dyDescent="0.3">
      <c r="A10" s="35" t="s">
        <v>90</v>
      </c>
      <c r="B10" s="98">
        <v>368.49</v>
      </c>
      <c r="C10" s="98">
        <v>304.27</v>
      </c>
      <c r="D10" s="98">
        <v>209.97</v>
      </c>
      <c r="E10" s="113" t="s">
        <v>10</v>
      </c>
      <c r="F10" s="98">
        <v>301.2</v>
      </c>
      <c r="G10" s="98">
        <v>256.58</v>
      </c>
    </row>
    <row r="11" spans="1:7" ht="14" x14ac:dyDescent="0.3">
      <c r="A11" s="35" t="s">
        <v>91</v>
      </c>
      <c r="B11" s="98">
        <v>324.56</v>
      </c>
      <c r="C11" s="98">
        <v>261.19</v>
      </c>
      <c r="D11" s="98">
        <v>153.16999999999999</v>
      </c>
      <c r="E11" s="113" t="s">
        <v>10</v>
      </c>
      <c r="F11" s="98">
        <v>262.2</v>
      </c>
      <c r="G11" s="98">
        <v>260.23</v>
      </c>
    </row>
    <row r="12" spans="1:7" ht="14" x14ac:dyDescent="0.3">
      <c r="A12" s="35" t="s">
        <v>106</v>
      </c>
      <c r="B12" s="98">
        <v>316.88</v>
      </c>
      <c r="C12" s="98">
        <v>208.61</v>
      </c>
      <c r="D12" s="98">
        <v>145.1</v>
      </c>
      <c r="E12" s="113" t="s">
        <v>10</v>
      </c>
      <c r="F12" s="98">
        <v>267.94</v>
      </c>
      <c r="G12" s="98">
        <v>282.49</v>
      </c>
    </row>
    <row r="13" spans="1:7" ht="14" x14ac:dyDescent="0.3">
      <c r="A13" s="35" t="s">
        <v>108</v>
      </c>
      <c r="B13" s="98">
        <v>345.02</v>
      </c>
      <c r="C13" s="98">
        <v>260.88</v>
      </c>
      <c r="D13" s="98">
        <v>173.53</v>
      </c>
      <c r="E13" s="113" t="s">
        <v>10</v>
      </c>
      <c r="F13" s="98">
        <v>291.14999999999998</v>
      </c>
      <c r="G13" s="98">
        <v>239.15</v>
      </c>
    </row>
    <row r="14" spans="1:7" ht="14" x14ac:dyDescent="0.3">
      <c r="A14" s="35" t="s">
        <v>141</v>
      </c>
      <c r="B14" s="98">
        <v>308.27999999999997</v>
      </c>
      <c r="C14" s="98">
        <v>228.64</v>
      </c>
      <c r="D14" s="119">
        <v>164.16</v>
      </c>
      <c r="E14" s="113" t="s">
        <v>10</v>
      </c>
      <c r="F14" s="98">
        <v>272.38</v>
      </c>
      <c r="G14" s="98">
        <v>225.77</v>
      </c>
    </row>
    <row r="15" spans="1:7" ht="16.5" x14ac:dyDescent="0.3">
      <c r="A15" s="35" t="s">
        <v>143</v>
      </c>
      <c r="B15" s="98">
        <v>299.5</v>
      </c>
      <c r="C15" s="98">
        <v>247.04</v>
      </c>
      <c r="D15" s="119">
        <v>187.7</v>
      </c>
      <c r="E15" s="113" t="s">
        <v>10</v>
      </c>
      <c r="F15" s="98">
        <v>273.99</v>
      </c>
      <c r="G15" s="98">
        <v>245.88</v>
      </c>
    </row>
    <row r="16" spans="1:7" ht="16.5" x14ac:dyDescent="0.3">
      <c r="A16" s="35" t="s">
        <v>157</v>
      </c>
      <c r="B16" s="98">
        <v>400</v>
      </c>
      <c r="C16" s="98">
        <v>385</v>
      </c>
      <c r="D16" s="119">
        <v>240</v>
      </c>
      <c r="E16" s="113" t="s">
        <v>10</v>
      </c>
      <c r="F16" s="98">
        <v>330</v>
      </c>
      <c r="G16" s="98">
        <v>275</v>
      </c>
    </row>
    <row r="17" spans="1:13" ht="14" x14ac:dyDescent="0.3">
      <c r="A17" s="114"/>
      <c r="B17" s="98"/>
      <c r="C17" s="98"/>
      <c r="D17" s="98"/>
      <c r="E17" s="113"/>
      <c r="F17" s="98"/>
      <c r="G17" s="98"/>
      <c r="H17" s="13"/>
    </row>
    <row r="18" spans="1:13" ht="14" x14ac:dyDescent="0.3">
      <c r="A18" s="35" t="s">
        <v>145</v>
      </c>
      <c r="B18" s="98"/>
      <c r="C18" s="98"/>
      <c r="D18" s="98"/>
      <c r="E18" s="113"/>
      <c r="F18" s="98"/>
      <c r="G18" s="98"/>
      <c r="I18" s="6"/>
      <c r="J18" s="6"/>
      <c r="K18" s="6"/>
      <c r="L18" s="6"/>
      <c r="M18" s="6"/>
    </row>
    <row r="19" spans="1:13" ht="14" x14ac:dyDescent="0.3">
      <c r="A19" s="35" t="s">
        <v>50</v>
      </c>
      <c r="B19" s="98">
        <v>309.48</v>
      </c>
      <c r="C19" s="98">
        <v>213.13</v>
      </c>
      <c r="D19" s="98">
        <v>169</v>
      </c>
      <c r="E19" s="113" t="s">
        <v>10</v>
      </c>
      <c r="F19" s="98">
        <v>267.89999999999998</v>
      </c>
      <c r="G19" s="98">
        <v>226.5</v>
      </c>
      <c r="I19" s="6"/>
      <c r="J19" s="6"/>
      <c r="K19" s="6"/>
      <c r="L19" s="6"/>
      <c r="M19" s="6"/>
    </row>
    <row r="20" spans="1:13" ht="14" x14ac:dyDescent="0.3">
      <c r="A20" s="35" t="s">
        <v>51</v>
      </c>
      <c r="B20" s="98">
        <v>303.13</v>
      </c>
      <c r="C20" s="98">
        <v>233.75</v>
      </c>
      <c r="D20" s="98">
        <v>166.88</v>
      </c>
      <c r="E20" s="113" t="s">
        <v>10</v>
      </c>
      <c r="F20" s="98" t="s">
        <v>10</v>
      </c>
      <c r="G20" s="98">
        <v>226.88</v>
      </c>
      <c r="I20" s="6"/>
      <c r="J20" s="6"/>
      <c r="K20" s="6"/>
      <c r="L20" s="6"/>
      <c r="M20" s="6"/>
    </row>
    <row r="21" spans="1:13" ht="14" x14ac:dyDescent="0.3">
      <c r="A21" s="35" t="s">
        <v>52</v>
      </c>
      <c r="B21" s="98">
        <v>299.58999999999997</v>
      </c>
      <c r="C21" s="98">
        <v>250.83</v>
      </c>
      <c r="D21" s="98">
        <v>180</v>
      </c>
      <c r="E21" s="113" t="s">
        <v>10</v>
      </c>
      <c r="F21" s="98" t="s">
        <v>10</v>
      </c>
      <c r="G21" s="98">
        <f>(235+227.5+232.5)/3</f>
        <v>231.66666666666666</v>
      </c>
      <c r="I21" s="6"/>
      <c r="J21" s="6"/>
      <c r="K21" s="6"/>
      <c r="L21" s="6"/>
      <c r="M21" s="6"/>
    </row>
    <row r="22" spans="1:13" ht="14" x14ac:dyDescent="0.3">
      <c r="A22" s="35" t="s">
        <v>53</v>
      </c>
      <c r="B22" s="98">
        <v>300.11</v>
      </c>
      <c r="C22" s="98">
        <v>239.38</v>
      </c>
      <c r="D22" s="98">
        <v>185</v>
      </c>
      <c r="E22" s="113" t="s">
        <v>10</v>
      </c>
      <c r="F22" s="98" t="s">
        <v>10</v>
      </c>
      <c r="G22" s="98">
        <v>248.13</v>
      </c>
      <c r="I22" s="6"/>
      <c r="J22" s="6"/>
      <c r="K22" s="6"/>
      <c r="L22" s="6"/>
      <c r="M22" s="6"/>
    </row>
    <row r="23" spans="1:13" ht="14" x14ac:dyDescent="0.3">
      <c r="A23" s="35" t="s">
        <v>54</v>
      </c>
      <c r="B23" s="98">
        <v>295.27999999999997</v>
      </c>
      <c r="C23" s="98">
        <v>250.63</v>
      </c>
      <c r="D23" s="98">
        <v>188.13</v>
      </c>
      <c r="E23" s="113" t="s">
        <v>10</v>
      </c>
      <c r="F23" s="98">
        <v>253.67</v>
      </c>
      <c r="G23" s="98">
        <v>262.5</v>
      </c>
      <c r="I23" s="6"/>
      <c r="J23" s="6"/>
      <c r="K23" s="6"/>
      <c r="L23" s="6"/>
      <c r="M23" s="6"/>
    </row>
    <row r="24" spans="1:13" ht="14" x14ac:dyDescent="0.3">
      <c r="A24" s="35" t="s">
        <v>55</v>
      </c>
      <c r="B24" s="98">
        <v>312.38</v>
      </c>
      <c r="C24" s="98">
        <v>259</v>
      </c>
      <c r="D24" s="98">
        <v>180</v>
      </c>
      <c r="E24" s="113" t="s">
        <v>10</v>
      </c>
      <c r="F24" s="98">
        <v>274.75</v>
      </c>
      <c r="G24" s="98">
        <v>263</v>
      </c>
      <c r="I24" s="6"/>
      <c r="J24" s="6"/>
      <c r="K24" s="6"/>
      <c r="L24" s="6"/>
      <c r="M24" s="6"/>
    </row>
    <row r="25" spans="1:13" ht="14" x14ac:dyDescent="0.3">
      <c r="A25" s="35" t="s">
        <v>56</v>
      </c>
      <c r="B25" s="98">
        <v>295.39999999999998</v>
      </c>
      <c r="C25" s="98">
        <v>281.88</v>
      </c>
      <c r="D25" s="98">
        <v>183.75</v>
      </c>
      <c r="E25" s="113" t="s">
        <v>10</v>
      </c>
      <c r="F25" s="98">
        <v>274.52999999999997</v>
      </c>
      <c r="G25" s="98">
        <v>260</v>
      </c>
      <c r="I25" s="6"/>
      <c r="J25" s="6"/>
      <c r="K25" s="6"/>
      <c r="L25" s="6"/>
      <c r="M25" s="6"/>
    </row>
    <row r="26" spans="1:13" ht="14" x14ac:dyDescent="0.3">
      <c r="A26" s="35" t="s">
        <v>57</v>
      </c>
      <c r="B26" s="98">
        <v>288.56</v>
      </c>
      <c r="C26" s="98">
        <v>251.88</v>
      </c>
      <c r="D26" s="98">
        <v>180.63</v>
      </c>
      <c r="E26" s="113" t="s">
        <v>10</v>
      </c>
      <c r="F26" s="98">
        <v>276.25</v>
      </c>
      <c r="G26" s="98">
        <v>257.5</v>
      </c>
      <c r="I26" s="6"/>
      <c r="J26" s="6"/>
      <c r="K26" s="6"/>
      <c r="L26" s="6"/>
      <c r="M26" s="6"/>
    </row>
    <row r="27" spans="1:13" ht="14" x14ac:dyDescent="0.3">
      <c r="A27" s="35" t="s">
        <v>58</v>
      </c>
      <c r="B27" s="98">
        <v>288.66000000000003</v>
      </c>
      <c r="C27" s="98">
        <v>245.5</v>
      </c>
      <c r="D27" s="98">
        <v>187.5</v>
      </c>
      <c r="E27" s="113" t="s">
        <v>10</v>
      </c>
      <c r="F27" s="98">
        <v>270.02999999999997</v>
      </c>
      <c r="G27" s="98">
        <v>245.63</v>
      </c>
      <c r="I27" s="6"/>
      <c r="J27" s="6"/>
      <c r="K27" s="6"/>
      <c r="L27" s="6"/>
      <c r="M27" s="6"/>
    </row>
    <row r="28" spans="1:13" ht="14" x14ac:dyDescent="0.3">
      <c r="A28" s="35" t="s">
        <v>60</v>
      </c>
      <c r="B28" s="98">
        <v>291.25</v>
      </c>
      <c r="C28" s="98">
        <v>245</v>
      </c>
      <c r="D28" s="98">
        <v>202.5</v>
      </c>
      <c r="E28" s="113" t="s">
        <v>10</v>
      </c>
      <c r="F28" s="98">
        <v>271.11</v>
      </c>
      <c r="G28" s="98">
        <v>250</v>
      </c>
      <c r="I28" s="6"/>
      <c r="J28" s="6"/>
      <c r="K28" s="6"/>
      <c r="L28" s="6"/>
      <c r="M28" s="6"/>
    </row>
    <row r="29" spans="1:13" ht="14" x14ac:dyDescent="0.3">
      <c r="A29" s="35" t="s">
        <v>61</v>
      </c>
      <c r="B29" s="98">
        <v>290.18</v>
      </c>
      <c r="C29" s="98">
        <v>245</v>
      </c>
      <c r="D29" s="98">
        <v>217.5</v>
      </c>
      <c r="E29" s="113" t="s">
        <v>10</v>
      </c>
      <c r="F29" s="98">
        <v>281.08999999999997</v>
      </c>
      <c r="G29" s="98">
        <v>251.75</v>
      </c>
      <c r="I29" s="6"/>
      <c r="J29" s="6"/>
      <c r="K29" s="6"/>
      <c r="L29" s="6"/>
      <c r="M29" s="6"/>
    </row>
    <row r="30" spans="1:13" ht="14" x14ac:dyDescent="0.3">
      <c r="A30" s="35" t="s">
        <v>63</v>
      </c>
      <c r="B30" s="98">
        <v>319.99</v>
      </c>
      <c r="C30" s="98">
        <v>248.5</v>
      </c>
      <c r="D30" s="98">
        <v>211.5</v>
      </c>
      <c r="E30" s="113" t="s">
        <v>10</v>
      </c>
      <c r="F30" s="98">
        <v>296.60000000000002</v>
      </c>
      <c r="G30" s="98">
        <v>227</v>
      </c>
      <c r="I30" s="6"/>
      <c r="J30" s="6"/>
      <c r="K30" s="6"/>
      <c r="L30" s="6"/>
      <c r="M30" s="6"/>
    </row>
    <row r="31" spans="1:13" ht="14" x14ac:dyDescent="0.3">
      <c r="A31" s="38"/>
      <c r="B31" s="98"/>
      <c r="C31" s="98"/>
      <c r="D31" s="98"/>
      <c r="E31" s="113"/>
      <c r="F31" s="98"/>
      <c r="G31" s="98"/>
      <c r="I31" s="6"/>
      <c r="J31" s="6"/>
      <c r="K31" s="6"/>
      <c r="L31" s="6"/>
      <c r="M31" s="6"/>
    </row>
    <row r="32" spans="1:13" ht="14" x14ac:dyDescent="0.3">
      <c r="A32" s="35" t="s">
        <v>168</v>
      </c>
      <c r="B32" s="98"/>
      <c r="C32" s="98"/>
      <c r="D32" s="98"/>
      <c r="E32" s="113"/>
      <c r="F32" s="98"/>
      <c r="G32" s="98"/>
      <c r="I32" s="6"/>
      <c r="J32" s="6"/>
      <c r="K32" s="6"/>
      <c r="L32" s="6"/>
      <c r="M32" s="6"/>
    </row>
    <row r="33" spans="1:13" ht="14" x14ac:dyDescent="0.3">
      <c r="A33" s="35" t="s">
        <v>50</v>
      </c>
      <c r="B33" s="98">
        <v>366.62</v>
      </c>
      <c r="C33" s="98">
        <v>301.88</v>
      </c>
      <c r="D33" s="98">
        <v>211.25</v>
      </c>
      <c r="E33" s="113" t="s">
        <v>10</v>
      </c>
      <c r="F33" s="98">
        <v>327.24</v>
      </c>
      <c r="G33" s="98">
        <v>239.38</v>
      </c>
      <c r="I33" s="6"/>
      <c r="J33" s="6"/>
      <c r="K33" s="6"/>
      <c r="L33" s="6"/>
      <c r="M33" s="6"/>
    </row>
    <row r="34" spans="1:13" ht="14" x14ac:dyDescent="0.3">
      <c r="A34" s="35" t="s">
        <v>51</v>
      </c>
      <c r="B34" s="98">
        <v>387.83</v>
      </c>
      <c r="C34" s="98">
        <v>365.63</v>
      </c>
      <c r="D34" s="98">
        <v>213.13</v>
      </c>
      <c r="E34" s="113" t="s">
        <v>10</v>
      </c>
      <c r="F34" s="98">
        <v>297.64999999999998</v>
      </c>
      <c r="G34" s="98">
        <v>253.75</v>
      </c>
      <c r="I34" s="6"/>
      <c r="J34" s="6"/>
      <c r="K34" s="6"/>
      <c r="L34" s="6"/>
      <c r="M34" s="6"/>
    </row>
    <row r="35" spans="1:13" ht="14" x14ac:dyDescent="0.3">
      <c r="A35" s="35" t="s">
        <v>52</v>
      </c>
      <c r="B35" s="98">
        <v>396.68</v>
      </c>
      <c r="C35" s="98">
        <v>425</v>
      </c>
      <c r="D35" s="98">
        <v>252.5</v>
      </c>
      <c r="E35" s="113" t="s">
        <v>10</v>
      </c>
      <c r="F35" s="98">
        <v>296.2</v>
      </c>
      <c r="G35" s="98">
        <v>275</v>
      </c>
      <c r="I35" s="6"/>
      <c r="J35" s="6"/>
      <c r="K35" s="6"/>
      <c r="L35" s="6"/>
      <c r="M35" s="6"/>
    </row>
    <row r="36" spans="1:13" ht="14" x14ac:dyDescent="0.3">
      <c r="A36" s="34" t="s">
        <v>53</v>
      </c>
      <c r="B36" s="104">
        <v>439.24</v>
      </c>
      <c r="C36" s="104">
        <v>443.75</v>
      </c>
      <c r="D36" s="104">
        <v>280.63</v>
      </c>
      <c r="E36" s="115" t="s">
        <v>10</v>
      </c>
      <c r="F36" s="104">
        <v>387.43</v>
      </c>
      <c r="G36" s="104">
        <v>313.18</v>
      </c>
      <c r="I36" s="6"/>
      <c r="J36" s="6"/>
      <c r="K36" s="6"/>
      <c r="L36" s="6"/>
      <c r="M36" s="6"/>
    </row>
    <row r="37" spans="1:13" ht="16.5" x14ac:dyDescent="0.3">
      <c r="A37" s="75" t="s">
        <v>139</v>
      </c>
      <c r="B37" s="116"/>
      <c r="C37" s="116"/>
      <c r="D37" s="116"/>
      <c r="E37" s="116"/>
      <c r="F37" s="116"/>
      <c r="G37" s="116"/>
      <c r="I37" s="11"/>
      <c r="J37" s="6"/>
      <c r="K37" s="6"/>
      <c r="L37" s="6"/>
      <c r="M37" s="6"/>
    </row>
    <row r="38" spans="1:13" ht="16.5" x14ac:dyDescent="0.3">
      <c r="A38" s="75" t="s">
        <v>135</v>
      </c>
      <c r="B38" s="117"/>
      <c r="C38" s="117"/>
      <c r="D38" s="117"/>
      <c r="E38" s="117"/>
      <c r="F38" s="117"/>
      <c r="G38" s="117"/>
      <c r="I38" s="11"/>
      <c r="J38" s="6"/>
      <c r="K38" s="6"/>
      <c r="L38" s="6"/>
      <c r="M38" s="6"/>
    </row>
    <row r="39" spans="1:13" ht="14" x14ac:dyDescent="0.3">
      <c r="A39" s="35" t="s">
        <v>49</v>
      </c>
      <c r="B39" s="117"/>
      <c r="C39" s="117"/>
      <c r="D39" s="117"/>
      <c r="E39" s="117"/>
      <c r="F39" s="117"/>
      <c r="G39" s="117"/>
      <c r="H39" s="1"/>
      <c r="I39" s="11"/>
      <c r="J39" s="6"/>
      <c r="K39" s="6"/>
      <c r="L39" s="6"/>
      <c r="M39" s="6"/>
    </row>
    <row r="40" spans="1:13" ht="14.5" x14ac:dyDescent="0.35">
      <c r="A40" s="35" t="s">
        <v>136</v>
      </c>
      <c r="B40" s="35"/>
      <c r="C40" s="35"/>
      <c r="D40" s="35"/>
      <c r="E40" s="35"/>
      <c r="F40" s="117"/>
      <c r="G40" s="117"/>
      <c r="I40" s="11"/>
      <c r="J40" s="6"/>
      <c r="K40" s="6"/>
      <c r="L40" s="6"/>
      <c r="M40" s="6"/>
    </row>
    <row r="41" spans="1:13" ht="14" x14ac:dyDescent="0.3">
      <c r="A41" s="39" t="s">
        <v>20</v>
      </c>
      <c r="B41" s="67">
        <f ca="1">NOW()</f>
        <v>44237.660999884261</v>
      </c>
      <c r="C41" s="35"/>
      <c r="D41" s="35"/>
      <c r="E41" s="35"/>
      <c r="F41" s="117"/>
      <c r="G41" s="117"/>
      <c r="I41" s="12"/>
      <c r="J41" s="8"/>
      <c r="K41" s="8"/>
      <c r="L41" s="8"/>
      <c r="M41" s="8"/>
    </row>
    <row r="42" spans="1:13" ht="14" x14ac:dyDescent="0.3">
      <c r="F42" s="117"/>
      <c r="G42" s="117"/>
      <c r="I42" s="12"/>
      <c r="J42" s="8"/>
      <c r="K42" s="8"/>
      <c r="L42" s="8"/>
      <c r="M42" s="8"/>
    </row>
    <row r="43" spans="1:13" ht="14" x14ac:dyDescent="0.3">
      <c r="F43" s="117"/>
      <c r="G43" s="117"/>
      <c r="I43" s="11"/>
      <c r="J43" s="11"/>
      <c r="K43" s="6"/>
      <c r="L43" s="6"/>
      <c r="M43" s="6"/>
    </row>
    <row r="44" spans="1:13" x14ac:dyDescent="0.25">
      <c r="I44" s="11"/>
      <c r="J44" s="11"/>
      <c r="K44" s="6"/>
      <c r="L44" s="6"/>
      <c r="M44" s="6"/>
    </row>
    <row r="45" spans="1:13" x14ac:dyDescent="0.25">
      <c r="I45" s="11"/>
      <c r="J45" s="11"/>
      <c r="K45" s="6"/>
      <c r="L45" s="6"/>
      <c r="M45" s="6"/>
    </row>
    <row r="46" spans="1:13" x14ac:dyDescent="0.25">
      <c r="I46" s="11"/>
      <c r="J46" s="11"/>
      <c r="K46" s="6"/>
      <c r="L46" s="6"/>
      <c r="M46" s="6"/>
    </row>
    <row r="47" spans="1:13" x14ac:dyDescent="0.25">
      <c r="I47" s="11"/>
      <c r="J47" s="11"/>
      <c r="K47" s="6"/>
      <c r="L47" s="6"/>
      <c r="M47" s="6"/>
    </row>
    <row r="48" spans="1:13" x14ac:dyDescent="0.25">
      <c r="I48" s="11"/>
      <c r="J48" s="11"/>
      <c r="K48" s="6"/>
      <c r="L48" s="6"/>
      <c r="M48" s="6"/>
    </row>
    <row r="50" spans="9:13" x14ac:dyDescent="0.25">
      <c r="I50" s="9"/>
      <c r="J50" s="9"/>
      <c r="K50" s="9"/>
      <c r="L50" s="9"/>
      <c r="M50" s="9"/>
    </row>
    <row r="51" spans="9:13" x14ac:dyDescent="0.25">
      <c r="I51" s="9"/>
      <c r="J51" s="9"/>
      <c r="K51" s="9"/>
      <c r="L51" s="9"/>
      <c r="M51" s="9"/>
    </row>
    <row r="52" spans="9:13" x14ac:dyDescent="0.25">
      <c r="J52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F529-9D03-4A2D-A5A1-6CC2E08FAAE7}">
  <dimension ref="A1:O237"/>
  <sheetViews>
    <sheetView workbookViewId="0"/>
  </sheetViews>
  <sheetFormatPr defaultRowHeight="15.5" x14ac:dyDescent="0.35"/>
  <cols>
    <col min="1" max="1" width="17" style="35" customWidth="1"/>
    <col min="2" max="2" width="10.7265625" style="156" customWidth="1"/>
    <col min="3" max="6" width="10.7265625" style="145" customWidth="1"/>
    <col min="7" max="7" width="10.7265625" style="1" customWidth="1"/>
    <col min="9" max="9" width="10.7265625" style="16" bestFit="1" customWidth="1"/>
  </cols>
  <sheetData>
    <row r="1" spans="1:15" ht="14" x14ac:dyDescent="0.3">
      <c r="A1" s="35" t="s">
        <v>172</v>
      </c>
      <c r="B1" s="35" t="s">
        <v>238</v>
      </c>
      <c r="C1" s="35" t="s">
        <v>237</v>
      </c>
      <c r="D1" s="35"/>
      <c r="E1" s="129"/>
      <c r="F1" s="129"/>
      <c r="H1" s="129"/>
      <c r="I1" s="120"/>
      <c r="L1" s="10"/>
      <c r="M1" s="18"/>
    </row>
    <row r="2" spans="1:15" x14ac:dyDescent="0.35">
      <c r="B2" s="156" t="s">
        <v>239</v>
      </c>
      <c r="C2" s="153"/>
      <c r="D2" s="129"/>
      <c r="E2" s="129"/>
      <c r="F2" s="129"/>
      <c r="I2" s="35"/>
    </row>
    <row r="3" spans="1:15" x14ac:dyDescent="0.35">
      <c r="B3" s="156" t="s">
        <v>236</v>
      </c>
      <c r="D3" s="35"/>
      <c r="F3" s="35"/>
      <c r="H3" s="129"/>
      <c r="I3"/>
    </row>
    <row r="4" spans="1:15" x14ac:dyDescent="0.35">
      <c r="A4" s="160">
        <v>43727</v>
      </c>
      <c r="B4" s="167">
        <v>8.57</v>
      </c>
      <c r="C4" s="167">
        <v>9.01</v>
      </c>
      <c r="D4" s="157"/>
      <c r="E4" s="50"/>
      <c r="F4" s="50"/>
      <c r="H4" s="137"/>
      <c r="I4" s="124"/>
      <c r="L4" s="126"/>
      <c r="M4" s="127"/>
    </row>
    <row r="5" spans="1:15" x14ac:dyDescent="0.35">
      <c r="A5" s="160">
        <v>43757</v>
      </c>
      <c r="B5" s="167">
        <v>9.07</v>
      </c>
      <c r="C5" s="167">
        <v>9.59</v>
      </c>
      <c r="D5" s="156"/>
      <c r="E5" s="157"/>
      <c r="F5" s="50"/>
      <c r="H5" s="137"/>
      <c r="I5" s="124"/>
      <c r="L5" s="126"/>
      <c r="M5" s="127"/>
    </row>
    <row r="6" spans="1:15" x14ac:dyDescent="0.35">
      <c r="A6" s="160">
        <v>43788</v>
      </c>
      <c r="B6" s="167">
        <v>9.1300000000000008</v>
      </c>
      <c r="C6" s="167">
        <v>9.5500000000000007</v>
      </c>
      <c r="D6" s="156"/>
      <c r="E6" s="156"/>
      <c r="F6" s="50"/>
      <c r="H6" s="137"/>
      <c r="I6" s="124"/>
      <c r="L6" s="126"/>
      <c r="M6" s="127"/>
    </row>
    <row r="7" spans="1:15" x14ac:dyDescent="0.35">
      <c r="A7" s="160">
        <v>43818</v>
      </c>
      <c r="B7" s="167">
        <v>9.25</v>
      </c>
      <c r="C7" s="167">
        <v>9.6999999999999993</v>
      </c>
      <c r="D7" s="156"/>
      <c r="E7" s="156"/>
      <c r="F7" s="50"/>
      <c r="H7" s="137"/>
      <c r="I7" s="124"/>
      <c r="L7" s="126"/>
      <c r="M7" s="127"/>
    </row>
    <row r="8" spans="1:15" x14ac:dyDescent="0.35">
      <c r="A8" s="160">
        <v>43849</v>
      </c>
      <c r="B8" s="167">
        <v>9.27</v>
      </c>
      <c r="C8" s="167">
        <v>9.74</v>
      </c>
      <c r="D8" s="156"/>
      <c r="E8" s="156"/>
      <c r="F8" s="50"/>
      <c r="H8" s="137"/>
      <c r="I8" s="124"/>
      <c r="L8" s="126"/>
      <c r="M8" s="127"/>
    </row>
    <row r="9" spans="1:15" x14ac:dyDescent="0.35">
      <c r="A9" s="160">
        <v>43880</v>
      </c>
      <c r="B9" s="167">
        <v>8.9600000000000009</v>
      </c>
      <c r="C9" s="167">
        <v>9.4</v>
      </c>
      <c r="D9" s="156"/>
      <c r="E9" s="156"/>
      <c r="F9" s="50"/>
      <c r="H9" s="137"/>
      <c r="I9" s="124"/>
      <c r="K9" s="127"/>
      <c r="L9" s="126"/>
      <c r="M9" s="127"/>
    </row>
    <row r="10" spans="1:15" x14ac:dyDescent="0.35">
      <c r="A10" s="160">
        <v>43909</v>
      </c>
      <c r="B10" s="167">
        <v>8.11</v>
      </c>
      <c r="C10" s="167">
        <v>9.24</v>
      </c>
      <c r="D10" s="152"/>
      <c r="E10" s="151"/>
      <c r="H10" s="137"/>
      <c r="I10" s="124"/>
      <c r="K10" s="127"/>
      <c r="L10" s="126"/>
      <c r="M10" s="127"/>
    </row>
    <row r="11" spans="1:15" x14ac:dyDescent="0.35">
      <c r="A11" s="160">
        <v>43940</v>
      </c>
      <c r="B11" s="167">
        <v>8.5399999999999991</v>
      </c>
      <c r="C11" s="168">
        <v>8.98</v>
      </c>
      <c r="D11" s="152"/>
      <c r="E11" s="151"/>
      <c r="H11" s="137"/>
      <c r="I11" s="124"/>
      <c r="K11" s="127"/>
      <c r="L11" s="126"/>
    </row>
    <row r="12" spans="1:15" x14ac:dyDescent="0.35">
      <c r="A12" s="160">
        <v>43970</v>
      </c>
      <c r="B12" s="167">
        <v>8.48</v>
      </c>
      <c r="C12" s="168">
        <v>8.9600000000000009</v>
      </c>
      <c r="D12" s="152"/>
      <c r="E12" s="151"/>
      <c r="H12" s="137"/>
      <c r="I12" s="124"/>
      <c r="K12" s="127"/>
      <c r="L12" s="126"/>
    </row>
    <row r="13" spans="1:15" x14ac:dyDescent="0.35">
      <c r="A13" s="160">
        <v>44001</v>
      </c>
      <c r="B13" s="167">
        <v>8.74</v>
      </c>
      <c r="C13" s="168">
        <v>9.26</v>
      </c>
      <c r="D13" s="152"/>
      <c r="E13" s="151"/>
      <c r="H13" s="137"/>
      <c r="I13" s="124"/>
      <c r="K13" s="127"/>
      <c r="L13" s="126"/>
    </row>
    <row r="14" spans="1:15" x14ac:dyDescent="0.35">
      <c r="A14" s="160">
        <v>44031</v>
      </c>
      <c r="B14" s="167">
        <v>8.9499999999999993</v>
      </c>
      <c r="C14" s="168">
        <v>9.6</v>
      </c>
      <c r="D14" s="152"/>
      <c r="E14" s="151"/>
      <c r="H14" s="137"/>
      <c r="I14" s="124"/>
      <c r="K14" s="127"/>
      <c r="L14" s="126"/>
    </row>
    <row r="15" spans="1:15" x14ac:dyDescent="0.35">
      <c r="A15" s="160">
        <v>44062</v>
      </c>
      <c r="B15" s="167">
        <v>8.8800000000000008</v>
      </c>
      <c r="C15" s="168">
        <v>9.82</v>
      </c>
      <c r="D15" s="152"/>
      <c r="E15" s="151"/>
      <c r="H15" s="137"/>
      <c r="I15" s="127"/>
      <c r="K15" s="127"/>
    </row>
    <row r="16" spans="1:15" x14ac:dyDescent="0.35">
      <c r="A16" s="160">
        <v>44093</v>
      </c>
      <c r="B16" s="167">
        <v>9.98</v>
      </c>
      <c r="C16" s="168">
        <v>10.68</v>
      </c>
      <c r="D16" s="152"/>
      <c r="E16" s="151"/>
      <c r="H16" s="125"/>
      <c r="I16" s="127"/>
      <c r="M16" s="124"/>
      <c r="N16" s="124"/>
      <c r="O16" s="124"/>
    </row>
    <row r="17" spans="1:14" x14ac:dyDescent="0.35">
      <c r="A17" s="160">
        <v>44123</v>
      </c>
      <c r="B17" s="167">
        <v>10.53</v>
      </c>
      <c r="C17" s="168">
        <v>11.36</v>
      </c>
      <c r="D17" s="149"/>
      <c r="E17" s="149"/>
      <c r="F17" s="149"/>
      <c r="G17" s="149"/>
      <c r="H17" s="125"/>
      <c r="I17" s="127"/>
      <c r="M17" s="13"/>
      <c r="N17" s="13"/>
    </row>
    <row r="18" spans="1:14" x14ac:dyDescent="0.35">
      <c r="A18" s="160">
        <v>44154</v>
      </c>
      <c r="B18" s="167">
        <v>11.43</v>
      </c>
      <c r="C18" s="168">
        <v>12.13</v>
      </c>
      <c r="D18" s="149"/>
      <c r="E18" s="149"/>
      <c r="F18" s="149"/>
      <c r="G18" s="149"/>
      <c r="H18" s="125"/>
      <c r="I18" s="127"/>
      <c r="K18" s="126"/>
      <c r="L18" s="126"/>
      <c r="M18" s="13"/>
      <c r="N18" s="13"/>
    </row>
    <row r="19" spans="1:14" x14ac:dyDescent="0.35">
      <c r="A19" s="160">
        <v>44184</v>
      </c>
      <c r="B19" s="167">
        <v>12.18</v>
      </c>
      <c r="C19" s="168">
        <v>12.76</v>
      </c>
      <c r="D19" s="149"/>
      <c r="E19" s="149"/>
      <c r="F19" s="149"/>
      <c r="G19" s="149"/>
      <c r="H19" s="125"/>
      <c r="I19" s="127"/>
      <c r="K19" s="9"/>
      <c r="L19" s="126"/>
      <c r="M19" s="13"/>
      <c r="N19" s="13"/>
    </row>
    <row r="20" spans="1:14" x14ac:dyDescent="0.35">
      <c r="A20" s="160">
        <v>44215</v>
      </c>
      <c r="B20" s="167">
        <v>13.84</v>
      </c>
      <c r="C20" s="168">
        <v>14.49</v>
      </c>
      <c r="D20" s="149"/>
      <c r="E20" s="149"/>
      <c r="F20" s="149"/>
      <c r="G20" s="149"/>
      <c r="H20" s="125"/>
      <c r="I20" s="127"/>
      <c r="K20" s="9"/>
      <c r="L20" s="126"/>
      <c r="M20" s="13"/>
      <c r="N20" s="13"/>
    </row>
    <row r="21" spans="1:14" x14ac:dyDescent="0.35">
      <c r="A21" s="155"/>
      <c r="C21" s="149"/>
      <c r="D21" s="149"/>
      <c r="E21" s="149"/>
      <c r="F21" s="149"/>
      <c r="G21" s="149"/>
      <c r="H21" s="125"/>
      <c r="I21" s="127"/>
      <c r="K21" s="9"/>
      <c r="L21" s="126"/>
      <c r="M21" s="13"/>
      <c r="N21" s="13"/>
    </row>
    <row r="22" spans="1:14" x14ac:dyDescent="0.35">
      <c r="A22" s="155"/>
      <c r="C22" s="149"/>
      <c r="D22" s="149"/>
      <c r="E22" s="149"/>
      <c r="F22" s="149"/>
      <c r="G22" s="149"/>
      <c r="H22" s="125"/>
      <c r="I22" s="127"/>
      <c r="K22" s="9"/>
      <c r="L22" s="126"/>
      <c r="M22" s="13"/>
      <c r="N22" s="13"/>
    </row>
    <row r="23" spans="1:14" x14ac:dyDescent="0.35">
      <c r="A23" s="155"/>
      <c r="C23" s="149"/>
      <c r="D23" s="149"/>
      <c r="E23" s="149"/>
      <c r="F23" s="149"/>
      <c r="G23" s="149"/>
      <c r="H23" s="125"/>
      <c r="I23" s="9"/>
      <c r="K23" s="9"/>
      <c r="L23" s="126"/>
      <c r="M23" s="13"/>
      <c r="N23" s="13"/>
    </row>
    <row r="24" spans="1:14" x14ac:dyDescent="0.35">
      <c r="A24" s="155"/>
      <c r="C24" s="149"/>
      <c r="D24" s="149"/>
      <c r="E24" s="149"/>
      <c r="F24" s="149"/>
      <c r="G24" s="149"/>
      <c r="H24" s="125"/>
      <c r="I24" s="9"/>
      <c r="K24" s="9"/>
      <c r="L24" s="126"/>
      <c r="M24" s="13"/>
      <c r="N24" s="13"/>
    </row>
    <row r="25" spans="1:14" x14ac:dyDescent="0.35">
      <c r="A25" s="155"/>
      <c r="C25" s="149"/>
      <c r="D25" s="149"/>
      <c r="E25" s="149"/>
      <c r="F25" s="149"/>
      <c r="G25" s="149"/>
      <c r="H25" s="125"/>
      <c r="I25" s="9"/>
      <c r="K25" s="9"/>
      <c r="L25" s="126"/>
      <c r="M25" s="13"/>
      <c r="N25" s="13"/>
    </row>
    <row r="26" spans="1:14" x14ac:dyDescent="0.35">
      <c r="A26" s="155"/>
      <c r="C26" s="149"/>
      <c r="D26" s="149"/>
      <c r="E26" s="149"/>
      <c r="F26" s="149"/>
      <c r="G26" s="149"/>
      <c r="H26" s="125"/>
      <c r="I26" s="9"/>
      <c r="K26" s="9"/>
      <c r="L26" s="126"/>
      <c r="M26" s="13"/>
      <c r="N26" s="13"/>
    </row>
    <row r="27" spans="1:14" x14ac:dyDescent="0.35">
      <c r="A27" s="155"/>
      <c r="C27" s="149"/>
      <c r="D27" s="149"/>
      <c r="E27" s="149"/>
      <c r="F27" s="149"/>
      <c r="G27" s="149"/>
      <c r="H27" s="125"/>
      <c r="I27" s="9"/>
      <c r="K27" s="9"/>
      <c r="L27" s="126"/>
      <c r="M27" s="13"/>
      <c r="N27" s="13"/>
    </row>
    <row r="28" spans="1:14" x14ac:dyDescent="0.35">
      <c r="A28" s="155"/>
      <c r="C28" s="149"/>
      <c r="D28" s="149"/>
      <c r="E28" s="149"/>
      <c r="F28" s="149"/>
      <c r="G28" s="149"/>
      <c r="H28" s="125"/>
      <c r="I28" s="9"/>
      <c r="K28" s="9"/>
      <c r="L28" s="126"/>
      <c r="M28" s="13"/>
      <c r="N28" s="13"/>
    </row>
    <row r="29" spans="1:14" x14ac:dyDescent="0.35">
      <c r="A29" s="155"/>
      <c r="C29" s="149"/>
      <c r="D29" s="149"/>
      <c r="E29" s="149"/>
      <c r="F29" s="149"/>
      <c r="G29" s="149"/>
      <c r="H29" s="125"/>
      <c r="I29" s="9"/>
      <c r="K29" s="9"/>
      <c r="L29" s="126"/>
    </row>
    <row r="30" spans="1:14" x14ac:dyDescent="0.35">
      <c r="A30" s="155"/>
      <c r="G30" s="140"/>
      <c r="H30" s="9"/>
      <c r="I30" s="9"/>
      <c r="K30" s="9"/>
      <c r="L30" s="126"/>
    </row>
    <row r="31" spans="1:14" x14ac:dyDescent="0.35">
      <c r="A31" s="155"/>
      <c r="G31" s="140"/>
      <c r="H31" s="126"/>
      <c r="I31" s="126"/>
      <c r="K31" s="126"/>
      <c r="L31" s="126"/>
    </row>
    <row r="32" spans="1:14" x14ac:dyDescent="0.35">
      <c r="A32" s="155"/>
      <c r="G32" s="140"/>
      <c r="H32" s="126"/>
      <c r="I32" s="126"/>
      <c r="K32" s="126"/>
      <c r="L32" s="126"/>
    </row>
    <row r="33" spans="1:12" x14ac:dyDescent="0.35">
      <c r="A33" s="155"/>
      <c r="G33" s="140"/>
      <c r="H33" s="126"/>
      <c r="I33" s="126"/>
      <c r="K33" s="126"/>
      <c r="L33" s="126"/>
    </row>
    <row r="34" spans="1:12" x14ac:dyDescent="0.35">
      <c r="A34" s="155"/>
      <c r="G34" s="140"/>
      <c r="H34" s="13"/>
      <c r="I34" s="13"/>
      <c r="K34" s="13"/>
    </row>
    <row r="35" spans="1:12" x14ac:dyDescent="0.35">
      <c r="A35" s="155"/>
      <c r="G35" s="140"/>
      <c r="H35" s="13"/>
      <c r="I35" s="13"/>
      <c r="K35" s="13"/>
    </row>
    <row r="36" spans="1:12" x14ac:dyDescent="0.35">
      <c r="A36" s="155"/>
      <c r="G36" s="140"/>
      <c r="H36" s="13"/>
      <c r="I36" s="13"/>
      <c r="K36" s="13"/>
    </row>
    <row r="37" spans="1:12" x14ac:dyDescent="0.35">
      <c r="A37" s="155"/>
      <c r="G37" s="140"/>
      <c r="H37" s="13"/>
      <c r="I37" s="13"/>
      <c r="K37" s="13"/>
    </row>
    <row r="38" spans="1:12" x14ac:dyDescent="0.35">
      <c r="A38" s="155"/>
      <c r="G38" s="140"/>
      <c r="H38" s="13"/>
      <c r="I38" s="13"/>
      <c r="K38" s="13"/>
    </row>
    <row r="39" spans="1:12" x14ac:dyDescent="0.35">
      <c r="A39" s="155"/>
      <c r="G39" s="140"/>
      <c r="H39" s="13"/>
      <c r="I39" s="13"/>
      <c r="K39" s="13"/>
    </row>
    <row r="40" spans="1:12" x14ac:dyDescent="0.35">
      <c r="A40" s="155"/>
      <c r="G40" s="140"/>
      <c r="H40" s="13"/>
      <c r="I40" s="13"/>
      <c r="K40" s="13"/>
    </row>
    <row r="41" spans="1:12" x14ac:dyDescent="0.35">
      <c r="A41" s="155"/>
      <c r="G41" s="140"/>
      <c r="H41" s="13"/>
      <c r="I41" s="13"/>
      <c r="K41" s="13"/>
    </row>
    <row r="42" spans="1:12" x14ac:dyDescent="0.35">
      <c r="A42" s="155"/>
      <c r="G42" s="140"/>
      <c r="H42" s="13"/>
      <c r="I42" s="13"/>
      <c r="K42" s="13"/>
    </row>
    <row r="43" spans="1:12" x14ac:dyDescent="0.35">
      <c r="A43" s="155"/>
      <c r="G43" s="140"/>
      <c r="H43" s="13"/>
      <c r="I43" s="13"/>
      <c r="K43" s="13"/>
    </row>
    <row r="44" spans="1:12" x14ac:dyDescent="0.35">
      <c r="A44" s="155"/>
      <c r="G44" s="118"/>
      <c r="I44" s="118"/>
    </row>
    <row r="45" spans="1:12" x14ac:dyDescent="0.35">
      <c r="A45" s="155"/>
      <c r="G45" s="118"/>
      <c r="I45" s="118"/>
    </row>
    <row r="46" spans="1:12" x14ac:dyDescent="0.35">
      <c r="A46" s="155"/>
      <c r="G46" s="118"/>
      <c r="I46" s="118"/>
    </row>
    <row r="47" spans="1:12" x14ac:dyDescent="0.35">
      <c r="A47" s="155"/>
      <c r="G47" s="118"/>
      <c r="I47" s="118"/>
    </row>
    <row r="48" spans="1:12" x14ac:dyDescent="0.35">
      <c r="A48" s="155"/>
      <c r="G48" s="118"/>
      <c r="I48" s="118"/>
    </row>
    <row r="49" spans="1:9" x14ac:dyDescent="0.35">
      <c r="A49" s="155"/>
      <c r="G49" s="118"/>
      <c r="I49" s="118"/>
    </row>
    <row r="50" spans="1:9" x14ac:dyDescent="0.35">
      <c r="A50" s="155"/>
      <c r="G50" s="118"/>
      <c r="I50" s="118"/>
    </row>
    <row r="51" spans="1:9" x14ac:dyDescent="0.35">
      <c r="A51" s="155"/>
      <c r="G51" s="118"/>
      <c r="I51" s="118"/>
    </row>
    <row r="52" spans="1:9" x14ac:dyDescent="0.35">
      <c r="A52" s="155"/>
      <c r="G52" s="118"/>
      <c r="I52" s="118"/>
    </row>
    <row r="53" spans="1:9" x14ac:dyDescent="0.35">
      <c r="A53" s="155"/>
      <c r="G53" s="118"/>
      <c r="I53" s="118"/>
    </row>
    <row r="54" spans="1:9" x14ac:dyDescent="0.35">
      <c r="A54" s="155"/>
      <c r="G54" s="118"/>
      <c r="I54" s="118"/>
    </row>
    <row r="55" spans="1:9" x14ac:dyDescent="0.35">
      <c r="A55" s="155"/>
      <c r="G55" s="118"/>
      <c r="I55" s="118"/>
    </row>
    <row r="56" spans="1:9" x14ac:dyDescent="0.35">
      <c r="A56" s="155"/>
      <c r="G56" s="118"/>
      <c r="I56" s="118"/>
    </row>
    <row r="57" spans="1:9" x14ac:dyDescent="0.35">
      <c r="A57" s="155"/>
      <c r="G57" s="118"/>
      <c r="I57" s="118"/>
    </row>
    <row r="58" spans="1:9" x14ac:dyDescent="0.35">
      <c r="A58" s="155"/>
      <c r="G58" s="118"/>
      <c r="I58" s="118"/>
    </row>
    <row r="59" spans="1:9" x14ac:dyDescent="0.35">
      <c r="A59" s="155"/>
      <c r="G59" s="118"/>
      <c r="I59" s="118"/>
    </row>
    <row r="60" spans="1:9" x14ac:dyDescent="0.35">
      <c r="A60" s="155"/>
      <c r="G60" s="118"/>
      <c r="I60" s="118"/>
    </row>
    <row r="61" spans="1:9" x14ac:dyDescent="0.35">
      <c r="A61" s="155"/>
      <c r="G61" s="118"/>
      <c r="I61" s="118"/>
    </row>
    <row r="62" spans="1:9" x14ac:dyDescent="0.35">
      <c r="A62" s="155"/>
      <c r="G62" s="118"/>
      <c r="I62" s="118"/>
    </row>
    <row r="63" spans="1:9" x14ac:dyDescent="0.35">
      <c r="A63" s="155"/>
      <c r="G63" s="118"/>
      <c r="I63" s="118"/>
    </row>
    <row r="64" spans="1:9" x14ac:dyDescent="0.35">
      <c r="A64" s="155"/>
      <c r="G64" s="118"/>
      <c r="I64" s="118"/>
    </row>
    <row r="65" spans="1:9" x14ac:dyDescent="0.35">
      <c r="A65" s="155"/>
      <c r="G65" s="118"/>
      <c r="I65" s="118"/>
    </row>
    <row r="66" spans="1:9" x14ac:dyDescent="0.35">
      <c r="A66" s="155"/>
      <c r="G66" s="118"/>
      <c r="I66" s="118"/>
    </row>
    <row r="67" spans="1:9" x14ac:dyDescent="0.35">
      <c r="A67" s="155"/>
      <c r="G67" s="118"/>
      <c r="I67" s="118"/>
    </row>
    <row r="68" spans="1:9" x14ac:dyDescent="0.35">
      <c r="A68" s="155"/>
      <c r="G68" s="118"/>
      <c r="I68" s="118"/>
    </row>
    <row r="69" spans="1:9" x14ac:dyDescent="0.35">
      <c r="A69" s="155"/>
      <c r="G69" s="118"/>
      <c r="I69" s="118"/>
    </row>
    <row r="70" spans="1:9" x14ac:dyDescent="0.35">
      <c r="A70" s="155"/>
      <c r="G70" s="118"/>
      <c r="I70" s="118"/>
    </row>
    <row r="71" spans="1:9" x14ac:dyDescent="0.35">
      <c r="A71" s="155"/>
      <c r="G71" s="118"/>
      <c r="I71" s="118"/>
    </row>
    <row r="72" spans="1:9" x14ac:dyDescent="0.35">
      <c r="A72" s="155"/>
      <c r="G72" s="118"/>
      <c r="I72" s="118"/>
    </row>
    <row r="73" spans="1:9" x14ac:dyDescent="0.35">
      <c r="A73" s="155"/>
      <c r="G73" s="118"/>
      <c r="I73" s="118"/>
    </row>
    <row r="74" spans="1:9" x14ac:dyDescent="0.35">
      <c r="A74" s="155"/>
      <c r="G74" s="118"/>
      <c r="I74" s="118"/>
    </row>
    <row r="75" spans="1:9" x14ac:dyDescent="0.35">
      <c r="A75" s="155"/>
      <c r="G75" s="118"/>
      <c r="I75" s="118"/>
    </row>
    <row r="76" spans="1:9" x14ac:dyDescent="0.35">
      <c r="A76" s="155"/>
      <c r="G76" s="118"/>
      <c r="I76" s="118"/>
    </row>
    <row r="77" spans="1:9" x14ac:dyDescent="0.35">
      <c r="A77" s="155"/>
      <c r="G77" s="118"/>
      <c r="I77" s="118"/>
    </row>
    <row r="78" spans="1:9" x14ac:dyDescent="0.35">
      <c r="G78" s="118"/>
      <c r="I78" s="118"/>
    </row>
    <row r="79" spans="1:9" x14ac:dyDescent="0.35">
      <c r="G79" s="118"/>
      <c r="I79" s="118"/>
    </row>
    <row r="80" spans="1:9" x14ac:dyDescent="0.35">
      <c r="G80" s="118"/>
      <c r="I80" s="118"/>
    </row>
    <row r="81" spans="7:9" x14ac:dyDescent="0.35">
      <c r="G81" s="118"/>
      <c r="I81" s="118"/>
    </row>
    <row r="82" spans="7:9" x14ac:dyDescent="0.35">
      <c r="G82" s="118"/>
      <c r="I82" s="118"/>
    </row>
    <row r="83" spans="7:9" x14ac:dyDescent="0.35">
      <c r="G83" s="118"/>
      <c r="I83" s="118"/>
    </row>
    <row r="84" spans="7:9" x14ac:dyDescent="0.35">
      <c r="G84" s="118"/>
      <c r="I84" s="118"/>
    </row>
    <row r="85" spans="7:9" x14ac:dyDescent="0.35">
      <c r="G85" s="118"/>
      <c r="I85" s="118"/>
    </row>
    <row r="86" spans="7:9" x14ac:dyDescent="0.35">
      <c r="G86" s="118"/>
      <c r="I86" s="118"/>
    </row>
    <row r="87" spans="7:9" x14ac:dyDescent="0.35">
      <c r="G87" s="118"/>
      <c r="I87" s="118"/>
    </row>
    <row r="88" spans="7:9" x14ac:dyDescent="0.35">
      <c r="G88" s="118"/>
      <c r="I88" s="118"/>
    </row>
    <row r="89" spans="7:9" x14ac:dyDescent="0.35">
      <c r="G89" s="118"/>
      <c r="I89" s="118"/>
    </row>
    <row r="90" spans="7:9" x14ac:dyDescent="0.35">
      <c r="G90" s="118"/>
      <c r="I90" s="118"/>
    </row>
    <row r="91" spans="7:9" x14ac:dyDescent="0.35">
      <c r="G91" s="118"/>
      <c r="I91" s="118"/>
    </row>
    <row r="92" spans="7:9" x14ac:dyDescent="0.35">
      <c r="G92" s="118"/>
      <c r="I92" s="118"/>
    </row>
    <row r="93" spans="7:9" x14ac:dyDescent="0.35">
      <c r="G93" s="118"/>
      <c r="I93" s="118"/>
    </row>
    <row r="94" spans="7:9" x14ac:dyDescent="0.35">
      <c r="G94" s="118"/>
      <c r="I94" s="118"/>
    </row>
    <row r="95" spans="7:9" x14ac:dyDescent="0.35">
      <c r="G95" s="118"/>
      <c r="I95" s="118"/>
    </row>
    <row r="96" spans="7:9" x14ac:dyDescent="0.35">
      <c r="G96" s="118"/>
      <c r="I96" s="118"/>
    </row>
    <row r="97" spans="7:9" x14ac:dyDescent="0.35">
      <c r="G97" s="118"/>
      <c r="I97" s="118"/>
    </row>
    <row r="98" spans="7:9" x14ac:dyDescent="0.35">
      <c r="G98" s="118"/>
      <c r="I98" s="118"/>
    </row>
    <row r="99" spans="7:9" x14ac:dyDescent="0.35">
      <c r="G99" s="118"/>
      <c r="I99" s="118"/>
    </row>
    <row r="100" spans="7:9" x14ac:dyDescent="0.35">
      <c r="G100" s="118"/>
      <c r="I100" s="118"/>
    </row>
    <row r="101" spans="7:9" x14ac:dyDescent="0.35">
      <c r="G101" s="118"/>
      <c r="I101" s="118"/>
    </row>
    <row r="102" spans="7:9" x14ac:dyDescent="0.35">
      <c r="G102" s="118"/>
      <c r="I102" s="118"/>
    </row>
    <row r="103" spans="7:9" x14ac:dyDescent="0.35">
      <c r="G103" s="118"/>
      <c r="I103" s="118"/>
    </row>
    <row r="104" spans="7:9" x14ac:dyDescent="0.35">
      <c r="G104" s="118"/>
      <c r="I104" s="118"/>
    </row>
    <row r="105" spans="7:9" x14ac:dyDescent="0.35">
      <c r="G105" s="118"/>
      <c r="I105" s="118"/>
    </row>
    <row r="106" spans="7:9" x14ac:dyDescent="0.35">
      <c r="G106" s="118"/>
      <c r="I106" s="118"/>
    </row>
    <row r="107" spans="7:9" x14ac:dyDescent="0.35">
      <c r="G107" s="118"/>
      <c r="I107" s="118"/>
    </row>
    <row r="108" spans="7:9" x14ac:dyDescent="0.35">
      <c r="G108" s="118"/>
      <c r="I108" s="118"/>
    </row>
    <row r="109" spans="7:9" x14ac:dyDescent="0.35">
      <c r="G109" s="118"/>
      <c r="I109" s="118"/>
    </row>
    <row r="110" spans="7:9" x14ac:dyDescent="0.35">
      <c r="G110" s="118"/>
      <c r="I110" s="118"/>
    </row>
    <row r="111" spans="7:9" x14ac:dyDescent="0.35">
      <c r="G111" s="118"/>
      <c r="I111" s="118"/>
    </row>
    <row r="112" spans="7:9" x14ac:dyDescent="0.35">
      <c r="G112" s="118"/>
      <c r="I112" s="118"/>
    </row>
    <row r="113" spans="7:9" x14ac:dyDescent="0.35">
      <c r="G113" s="118"/>
      <c r="I113" s="118"/>
    </row>
    <row r="114" spans="7:9" x14ac:dyDescent="0.35">
      <c r="G114" s="118"/>
      <c r="I114" s="118"/>
    </row>
    <row r="115" spans="7:9" x14ac:dyDescent="0.35">
      <c r="G115" s="118"/>
      <c r="I115" s="118"/>
    </row>
    <row r="116" spans="7:9" x14ac:dyDescent="0.35">
      <c r="G116" s="118"/>
      <c r="I116" s="118"/>
    </row>
    <row r="117" spans="7:9" x14ac:dyDescent="0.35">
      <c r="G117" s="118"/>
      <c r="I117" s="118"/>
    </row>
    <row r="118" spans="7:9" x14ac:dyDescent="0.35">
      <c r="G118" s="118"/>
      <c r="I118" s="118"/>
    </row>
    <row r="119" spans="7:9" x14ac:dyDescent="0.35">
      <c r="G119" s="118"/>
      <c r="I119" s="118"/>
    </row>
    <row r="120" spans="7:9" x14ac:dyDescent="0.35">
      <c r="G120" s="118"/>
      <c r="I120" s="118"/>
    </row>
    <row r="121" spans="7:9" x14ac:dyDescent="0.35">
      <c r="G121" s="118"/>
      <c r="I121" s="118"/>
    </row>
    <row r="122" spans="7:9" x14ac:dyDescent="0.35">
      <c r="G122" s="118"/>
      <c r="I122" s="118"/>
    </row>
    <row r="123" spans="7:9" x14ac:dyDescent="0.35">
      <c r="G123" s="118"/>
      <c r="I123" s="118"/>
    </row>
    <row r="124" spans="7:9" x14ac:dyDescent="0.35">
      <c r="G124" s="118"/>
      <c r="I124" s="118"/>
    </row>
    <row r="125" spans="7:9" x14ac:dyDescent="0.35">
      <c r="G125" s="118"/>
      <c r="I125" s="118"/>
    </row>
    <row r="126" spans="7:9" x14ac:dyDescent="0.35">
      <c r="G126" s="118"/>
      <c r="I126" s="118"/>
    </row>
    <row r="127" spans="7:9" x14ac:dyDescent="0.35">
      <c r="G127" s="118"/>
      <c r="I127" s="118"/>
    </row>
    <row r="128" spans="7:9" x14ac:dyDescent="0.35">
      <c r="G128" s="118"/>
      <c r="I128" s="118"/>
    </row>
    <row r="129" spans="7:9" x14ac:dyDescent="0.35">
      <c r="G129" s="118"/>
      <c r="I129" s="118"/>
    </row>
    <row r="130" spans="7:9" x14ac:dyDescent="0.35">
      <c r="G130" s="118"/>
      <c r="I130" s="118"/>
    </row>
    <row r="131" spans="7:9" x14ac:dyDescent="0.35">
      <c r="G131" s="118"/>
    </row>
    <row r="132" spans="7:9" x14ac:dyDescent="0.35">
      <c r="G132" s="118"/>
      <c r="I132" s="118"/>
    </row>
    <row r="133" spans="7:9" x14ac:dyDescent="0.35">
      <c r="G133" s="118"/>
      <c r="I133" s="118"/>
    </row>
    <row r="134" spans="7:9" x14ac:dyDescent="0.35">
      <c r="G134" s="118"/>
      <c r="I134" s="118"/>
    </row>
    <row r="135" spans="7:9" x14ac:dyDescent="0.35">
      <c r="G135" s="118"/>
      <c r="I135" s="118"/>
    </row>
    <row r="136" spans="7:9" x14ac:dyDescent="0.35">
      <c r="G136" s="118"/>
      <c r="I136" s="118"/>
    </row>
    <row r="137" spans="7:9" x14ac:dyDescent="0.35">
      <c r="G137" s="118"/>
      <c r="I137" s="118"/>
    </row>
    <row r="138" spans="7:9" x14ac:dyDescent="0.35">
      <c r="G138" s="118"/>
      <c r="I138" s="118"/>
    </row>
    <row r="139" spans="7:9" x14ac:dyDescent="0.35">
      <c r="G139" s="118"/>
      <c r="I139" s="118"/>
    </row>
    <row r="140" spans="7:9" x14ac:dyDescent="0.35">
      <c r="G140" s="118"/>
      <c r="I140" s="118"/>
    </row>
    <row r="141" spans="7:9" x14ac:dyDescent="0.35">
      <c r="G141" s="118"/>
      <c r="I141" s="118"/>
    </row>
    <row r="142" spans="7:9" x14ac:dyDescent="0.35">
      <c r="G142" s="118"/>
      <c r="I142" s="118"/>
    </row>
    <row r="143" spans="7:9" x14ac:dyDescent="0.35">
      <c r="G143" s="118"/>
      <c r="I143" s="118"/>
    </row>
    <row r="144" spans="7:9" x14ac:dyDescent="0.35">
      <c r="G144" s="118"/>
      <c r="I144" s="118"/>
    </row>
    <row r="145" spans="7:9" x14ac:dyDescent="0.35">
      <c r="G145" s="118"/>
      <c r="I145" s="118"/>
    </row>
    <row r="146" spans="7:9" x14ac:dyDescent="0.35">
      <c r="G146" s="118"/>
      <c r="I146" s="118"/>
    </row>
    <row r="147" spans="7:9" x14ac:dyDescent="0.35">
      <c r="G147" s="118"/>
      <c r="I147" s="118"/>
    </row>
    <row r="148" spans="7:9" x14ac:dyDescent="0.35">
      <c r="G148" s="118"/>
      <c r="I148" s="118"/>
    </row>
    <row r="149" spans="7:9" x14ac:dyDescent="0.35">
      <c r="G149" s="118"/>
      <c r="I149" s="118"/>
    </row>
    <row r="150" spans="7:9" x14ac:dyDescent="0.35">
      <c r="G150" s="118"/>
      <c r="I150" s="118"/>
    </row>
    <row r="151" spans="7:9" x14ac:dyDescent="0.35">
      <c r="G151" s="118"/>
      <c r="I151" s="118"/>
    </row>
    <row r="152" spans="7:9" x14ac:dyDescent="0.35">
      <c r="G152" s="118"/>
      <c r="I152" s="118"/>
    </row>
    <row r="153" spans="7:9" x14ac:dyDescent="0.35">
      <c r="G153" s="118"/>
      <c r="I153" s="118"/>
    </row>
    <row r="154" spans="7:9" x14ac:dyDescent="0.35">
      <c r="G154" s="118"/>
      <c r="I154" s="118"/>
    </row>
    <row r="155" spans="7:9" x14ac:dyDescent="0.35">
      <c r="G155" s="118"/>
      <c r="I155" s="118"/>
    </row>
    <row r="156" spans="7:9" x14ac:dyDescent="0.35">
      <c r="G156" s="118"/>
      <c r="I156" s="118"/>
    </row>
    <row r="157" spans="7:9" x14ac:dyDescent="0.35">
      <c r="G157" s="118"/>
      <c r="I157" s="118"/>
    </row>
    <row r="158" spans="7:9" x14ac:dyDescent="0.35">
      <c r="G158" s="118"/>
      <c r="I158" s="118"/>
    </row>
    <row r="159" spans="7:9" x14ac:dyDescent="0.35">
      <c r="G159" s="118"/>
      <c r="I159" s="118"/>
    </row>
    <row r="160" spans="7:9" x14ac:dyDescent="0.35">
      <c r="G160" s="118"/>
    </row>
    <row r="161" spans="7:9" x14ac:dyDescent="0.35">
      <c r="G161" s="118"/>
      <c r="I161" s="118"/>
    </row>
    <row r="162" spans="7:9" x14ac:dyDescent="0.35">
      <c r="G162" s="118"/>
      <c r="I162" s="118"/>
    </row>
    <row r="163" spans="7:9" x14ac:dyDescent="0.35">
      <c r="G163" s="118"/>
      <c r="I163" s="118"/>
    </row>
    <row r="164" spans="7:9" x14ac:dyDescent="0.35">
      <c r="G164" s="118"/>
      <c r="I164" s="118"/>
    </row>
    <row r="165" spans="7:9" x14ac:dyDescent="0.35">
      <c r="G165" s="118"/>
      <c r="I165" s="118"/>
    </row>
    <row r="166" spans="7:9" x14ac:dyDescent="0.35">
      <c r="G166" s="118"/>
      <c r="I166" s="118"/>
    </row>
    <row r="167" spans="7:9" x14ac:dyDescent="0.35">
      <c r="G167" s="118"/>
      <c r="I167" s="118"/>
    </row>
    <row r="168" spans="7:9" x14ac:dyDescent="0.35">
      <c r="G168" s="118"/>
      <c r="I168" s="118"/>
    </row>
    <row r="169" spans="7:9" x14ac:dyDescent="0.35">
      <c r="G169" s="118"/>
      <c r="I169" s="118"/>
    </row>
    <row r="170" spans="7:9" x14ac:dyDescent="0.35">
      <c r="G170" s="118"/>
      <c r="I170" s="118"/>
    </row>
    <row r="171" spans="7:9" x14ac:dyDescent="0.35">
      <c r="G171" s="118"/>
      <c r="I171" s="118"/>
    </row>
    <row r="172" spans="7:9" x14ac:dyDescent="0.35">
      <c r="G172" s="118"/>
      <c r="I172" s="118"/>
    </row>
    <row r="173" spans="7:9" x14ac:dyDescent="0.35">
      <c r="G173" s="118"/>
      <c r="I173" s="118"/>
    </row>
    <row r="174" spans="7:9" x14ac:dyDescent="0.35">
      <c r="G174" s="118"/>
      <c r="I174" s="118"/>
    </row>
    <row r="175" spans="7:9" x14ac:dyDescent="0.35">
      <c r="G175" s="118"/>
      <c r="I175" s="118"/>
    </row>
    <row r="176" spans="7:9" x14ac:dyDescent="0.35">
      <c r="G176" s="118"/>
      <c r="I176" s="118"/>
    </row>
    <row r="177" spans="7:9" x14ac:dyDescent="0.35">
      <c r="G177" s="118"/>
      <c r="I177" s="118"/>
    </row>
    <row r="178" spans="7:9" x14ac:dyDescent="0.35">
      <c r="G178" s="118"/>
      <c r="I178" s="118"/>
    </row>
    <row r="179" spans="7:9" x14ac:dyDescent="0.35">
      <c r="G179" s="118"/>
      <c r="I179" s="118"/>
    </row>
    <row r="180" spans="7:9" x14ac:dyDescent="0.35">
      <c r="G180" s="118"/>
      <c r="I180" s="118"/>
    </row>
    <row r="181" spans="7:9" x14ac:dyDescent="0.35">
      <c r="G181" s="118"/>
      <c r="I181" s="118"/>
    </row>
    <row r="182" spans="7:9" x14ac:dyDescent="0.35">
      <c r="G182" s="118"/>
      <c r="I182" s="118"/>
    </row>
    <row r="183" spans="7:9" x14ac:dyDescent="0.35">
      <c r="G183" s="118"/>
      <c r="I183" s="118"/>
    </row>
    <row r="184" spans="7:9" x14ac:dyDescent="0.35">
      <c r="G184" s="118"/>
      <c r="I184" s="118"/>
    </row>
    <row r="185" spans="7:9" x14ac:dyDescent="0.35">
      <c r="G185" s="118"/>
      <c r="I185" s="118"/>
    </row>
    <row r="186" spans="7:9" x14ac:dyDescent="0.35">
      <c r="G186" s="118"/>
      <c r="I186" s="118"/>
    </row>
    <row r="187" spans="7:9" x14ac:dyDescent="0.35">
      <c r="G187" s="118"/>
      <c r="I187" s="118"/>
    </row>
    <row r="188" spans="7:9" x14ac:dyDescent="0.35">
      <c r="G188" s="118"/>
      <c r="I188" s="118"/>
    </row>
    <row r="189" spans="7:9" x14ac:dyDescent="0.35">
      <c r="G189" s="118"/>
      <c r="I189" s="118"/>
    </row>
    <row r="190" spans="7:9" x14ac:dyDescent="0.35">
      <c r="G190" s="118"/>
      <c r="I190" s="118"/>
    </row>
    <row r="191" spans="7:9" x14ac:dyDescent="0.35">
      <c r="G191" s="118"/>
      <c r="I191" s="118"/>
    </row>
    <row r="192" spans="7:9" x14ac:dyDescent="0.35">
      <c r="G192" s="118"/>
      <c r="I192" s="118"/>
    </row>
    <row r="193" spans="7:9" x14ac:dyDescent="0.35">
      <c r="G193" s="118"/>
      <c r="I193" s="118"/>
    </row>
    <row r="194" spans="7:9" x14ac:dyDescent="0.35">
      <c r="G194" s="118"/>
      <c r="I194" s="118"/>
    </row>
    <row r="195" spans="7:9" x14ac:dyDescent="0.35">
      <c r="G195" s="118"/>
      <c r="I195" s="118"/>
    </row>
    <row r="196" spans="7:9" x14ac:dyDescent="0.35">
      <c r="G196" s="118"/>
      <c r="I196" s="118"/>
    </row>
    <row r="197" spans="7:9" x14ac:dyDescent="0.35">
      <c r="G197" s="118"/>
      <c r="I197" s="118"/>
    </row>
    <row r="198" spans="7:9" x14ac:dyDescent="0.35">
      <c r="G198" s="118"/>
      <c r="I198" s="118"/>
    </row>
    <row r="199" spans="7:9" x14ac:dyDescent="0.35">
      <c r="G199" s="118"/>
      <c r="I199" s="118"/>
    </row>
    <row r="200" spans="7:9" x14ac:dyDescent="0.35">
      <c r="G200" s="118"/>
    </row>
    <row r="201" spans="7:9" x14ac:dyDescent="0.35">
      <c r="G201" s="118"/>
    </row>
    <row r="202" spans="7:9" x14ac:dyDescent="0.35">
      <c r="G202" s="118"/>
    </row>
    <row r="203" spans="7:9" x14ac:dyDescent="0.35">
      <c r="G203" s="118"/>
    </row>
    <row r="204" spans="7:9" x14ac:dyDescent="0.35">
      <c r="G204" s="141"/>
    </row>
    <row r="205" spans="7:9" x14ac:dyDescent="0.35">
      <c r="G205" s="141"/>
    </row>
    <row r="206" spans="7:9" x14ac:dyDescent="0.35">
      <c r="G206" s="141"/>
    </row>
    <row r="207" spans="7:9" x14ac:dyDescent="0.35">
      <c r="G207" s="141"/>
    </row>
    <row r="208" spans="7:9" x14ac:dyDescent="0.35">
      <c r="G208" s="141"/>
    </row>
    <row r="209" spans="7:7" x14ac:dyDescent="0.35">
      <c r="G209" s="141"/>
    </row>
    <row r="210" spans="7:7" x14ac:dyDescent="0.35">
      <c r="G210" s="141"/>
    </row>
    <row r="211" spans="7:7" x14ac:dyDescent="0.35">
      <c r="G211" s="141"/>
    </row>
    <row r="212" spans="7:7" x14ac:dyDescent="0.35">
      <c r="G212" s="141"/>
    </row>
    <row r="213" spans="7:7" x14ac:dyDescent="0.35">
      <c r="G213" s="141"/>
    </row>
    <row r="214" spans="7:7" x14ac:dyDescent="0.35">
      <c r="G214" s="141"/>
    </row>
    <row r="215" spans="7:7" x14ac:dyDescent="0.35">
      <c r="G215" s="141"/>
    </row>
    <row r="216" spans="7:7" x14ac:dyDescent="0.35">
      <c r="G216" s="141"/>
    </row>
    <row r="217" spans="7:7" x14ac:dyDescent="0.35">
      <c r="G217" s="141"/>
    </row>
    <row r="218" spans="7:7" x14ac:dyDescent="0.35">
      <c r="G218" s="141"/>
    </row>
    <row r="219" spans="7:7" x14ac:dyDescent="0.35">
      <c r="G219" s="141"/>
    </row>
    <row r="220" spans="7:7" x14ac:dyDescent="0.35">
      <c r="G220" s="141"/>
    </row>
    <row r="221" spans="7:7" x14ac:dyDescent="0.35">
      <c r="G221" s="141"/>
    </row>
    <row r="222" spans="7:7" x14ac:dyDescent="0.35">
      <c r="G222" s="141"/>
    </row>
    <row r="223" spans="7:7" x14ac:dyDescent="0.35">
      <c r="G223" s="141"/>
    </row>
    <row r="224" spans="7:7" x14ac:dyDescent="0.35">
      <c r="G224" s="141"/>
    </row>
    <row r="225" spans="7:7" x14ac:dyDescent="0.35">
      <c r="G225" s="141"/>
    </row>
    <row r="226" spans="7:7" x14ac:dyDescent="0.35">
      <c r="G226" s="141"/>
    </row>
    <row r="227" spans="7:7" x14ac:dyDescent="0.35">
      <c r="G227" s="141"/>
    </row>
    <row r="228" spans="7:7" x14ac:dyDescent="0.35">
      <c r="G228" s="141"/>
    </row>
    <row r="229" spans="7:7" x14ac:dyDescent="0.35">
      <c r="G229" s="141"/>
    </row>
    <row r="230" spans="7:7" x14ac:dyDescent="0.35">
      <c r="G230" s="141"/>
    </row>
    <row r="231" spans="7:7" x14ac:dyDescent="0.35">
      <c r="G231" s="141"/>
    </row>
    <row r="232" spans="7:7" x14ac:dyDescent="0.35">
      <c r="G232" s="141"/>
    </row>
    <row r="233" spans="7:7" x14ac:dyDescent="0.35">
      <c r="G233" s="141"/>
    </row>
    <row r="234" spans="7:7" x14ac:dyDescent="0.35">
      <c r="G234" s="141"/>
    </row>
    <row r="235" spans="7:7" x14ac:dyDescent="0.35">
      <c r="G235" s="141"/>
    </row>
    <row r="236" spans="7:7" x14ac:dyDescent="0.35">
      <c r="G236" s="141"/>
    </row>
    <row r="237" spans="7:7" x14ac:dyDescent="0.35">
      <c r="G237" s="14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Ash, Dana Golden</dc:creator>
  <cp:keywords>soybeans, cottonseed, sunflower, peanuts, canola, supply, disappearance, price, USDA, U.S. Department of Agriculture, ERS, Economic Research Service</cp:keywords>
  <dc:description/>
  <cp:lastModifiedBy>Windows User</cp:lastModifiedBy>
  <cp:lastPrinted>2014-11-10T20:35:48Z</cp:lastPrinted>
  <dcterms:created xsi:type="dcterms:W3CDTF">2001-11-13T16:22:15Z</dcterms:created>
  <dcterms:modified xsi:type="dcterms:W3CDTF">2021-02-10T20:53:06Z</dcterms:modified>
  <cp:category>Oilseeds</cp:category>
</cp:coreProperties>
</file>