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M:\CROPS\Oil Crops\Oil Crops Outlook Files MASH\Outlook reports\September 2021\"/>
    </mc:Choice>
  </mc:AlternateContent>
  <xr:revisionPtr revIDLastSave="0" documentId="13_ncr:1_{64AB8768-41D7-4575-BDE3-C816A8D4F899}" xr6:coauthVersionLast="46" xr6:coauthVersionMax="46" xr10:uidLastSave="{00000000-0000-0000-0000-000000000000}"/>
  <bookViews>
    <workbookView xWindow="-120" yWindow="-120" windowWidth="20730" windowHeight="11160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42" r:id="rId9"/>
    <sheet name="Figure 1" sheetId="38" r:id="rId10"/>
  </sheets>
  <definedNames>
    <definedName name="_xlnm.Print_Area" localSheetId="1">'Table 1'!$A$1:$N$47</definedName>
    <definedName name="_xlnm.Print_Area" localSheetId="7">'Table 10'!$A$1:$G$47</definedName>
    <definedName name="_xlnm.Print_Area" localSheetId="2">'Table 2'!$A$1:$J$38</definedName>
    <definedName name="_xlnm.Print_Area" localSheetId="3">'Table 3'!$A$1:$L$51</definedName>
    <definedName name="_xlnm.Print_Area" localSheetId="5">'Table 8'!$A$1:$G$45</definedName>
    <definedName name="_xlnm.Print_Area" localSheetId="6">'Table 9'!$A$1:$I$47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3" l="1"/>
  <c r="G31" i="3"/>
  <c r="E31" i="3"/>
  <c r="J6" i="3"/>
  <c r="I19" i="3"/>
  <c r="H44" i="3"/>
  <c r="D44" i="3"/>
  <c r="J36" i="9" l="1"/>
  <c r="H36" i="9"/>
  <c r="D36" i="9"/>
  <c r="C36" i="9"/>
  <c r="K35" i="9"/>
  <c r="J35" i="9"/>
  <c r="G35" i="9"/>
  <c r="E35" i="9"/>
  <c r="D35" i="9"/>
  <c r="B35" i="9"/>
  <c r="I36" i="2"/>
  <c r="H36" i="2"/>
  <c r="G36" i="2"/>
  <c r="D36" i="2"/>
  <c r="C36" i="2"/>
  <c r="I35" i="2"/>
  <c r="H35" i="2"/>
  <c r="G35" i="2" s="1"/>
  <c r="E35" i="2"/>
  <c r="D35" i="2"/>
  <c r="B35" i="2"/>
  <c r="L44" i="1"/>
  <c r="J44" i="1"/>
  <c r="G44" i="1"/>
  <c r="L45" i="1" l="1"/>
  <c r="J45" i="1"/>
  <c r="G45" i="1"/>
  <c r="L6" i="9"/>
  <c r="D46" i="3" l="1"/>
  <c r="B21" i="3"/>
  <c r="B20" i="3"/>
  <c r="B8" i="9"/>
  <c r="B7" i="9"/>
  <c r="D8" i="1"/>
  <c r="J34" i="9"/>
  <c r="E34" i="9"/>
  <c r="K34" i="9" s="1"/>
  <c r="D34" i="9"/>
  <c r="I34" i="2"/>
  <c r="H34" i="2"/>
  <c r="G34" i="2"/>
  <c r="E34" i="2"/>
  <c r="D34" i="2"/>
  <c r="L43" i="1"/>
  <c r="G43" i="1"/>
  <c r="B34" i="9"/>
  <c r="B34" i="2"/>
  <c r="J43" i="1"/>
  <c r="G34" i="9" l="1"/>
  <c r="K36" i="9"/>
  <c r="L44" i="3"/>
  <c r="J33" i="9"/>
  <c r="J32" i="9"/>
  <c r="J31" i="9"/>
  <c r="J30" i="9"/>
  <c r="J29" i="9"/>
  <c r="J28" i="9"/>
  <c r="J27" i="9"/>
  <c r="J26" i="9"/>
  <c r="D33" i="9"/>
  <c r="D32" i="9"/>
  <c r="D31" i="9"/>
  <c r="D30" i="9"/>
  <c r="D29" i="9"/>
  <c r="D28" i="9"/>
  <c r="D27" i="9"/>
  <c r="D26" i="9"/>
  <c r="J22" i="9"/>
  <c r="J21" i="9"/>
  <c r="J20" i="9"/>
  <c r="J19" i="9"/>
  <c r="J18" i="9"/>
  <c r="J17" i="9"/>
  <c r="J16" i="9"/>
  <c r="J15" i="9"/>
  <c r="J14" i="9"/>
  <c r="J13" i="9"/>
  <c r="J12" i="9"/>
  <c r="J11" i="9"/>
  <c r="D22" i="9"/>
  <c r="D21" i="9"/>
  <c r="D20" i="9"/>
  <c r="D19" i="9"/>
  <c r="D18" i="9"/>
  <c r="D17" i="9"/>
  <c r="D16" i="9"/>
  <c r="D15" i="9"/>
  <c r="D14" i="9"/>
  <c r="D13" i="9"/>
  <c r="D12" i="9"/>
  <c r="D11" i="9"/>
  <c r="I34" i="9" l="1"/>
  <c r="I36" i="9" s="1"/>
  <c r="G36" i="9"/>
  <c r="H33" i="2"/>
  <c r="H32" i="2"/>
  <c r="H31" i="2"/>
  <c r="H30" i="2"/>
  <c r="H29" i="2"/>
  <c r="H28" i="2"/>
  <c r="H27" i="2"/>
  <c r="H26" i="2"/>
  <c r="D33" i="2"/>
  <c r="D32" i="2"/>
  <c r="D31" i="2"/>
  <c r="D30" i="2"/>
  <c r="D29" i="2"/>
  <c r="D28" i="2"/>
  <c r="D27" i="2"/>
  <c r="D26" i="2"/>
  <c r="H22" i="2"/>
  <c r="H21" i="2"/>
  <c r="H20" i="2"/>
  <c r="H19" i="2"/>
  <c r="H18" i="2"/>
  <c r="H17" i="2"/>
  <c r="H16" i="2"/>
  <c r="H15" i="2"/>
  <c r="H14" i="2"/>
  <c r="H13" i="2"/>
  <c r="H12" i="2"/>
  <c r="H11" i="2"/>
  <c r="D22" i="2"/>
  <c r="D21" i="2"/>
  <c r="D20" i="2"/>
  <c r="D19" i="2"/>
  <c r="D18" i="2"/>
  <c r="D17" i="2"/>
  <c r="D16" i="2"/>
  <c r="D15" i="2"/>
  <c r="D14" i="2"/>
  <c r="D13" i="2"/>
  <c r="D12" i="2"/>
  <c r="D11" i="2"/>
  <c r="M8" i="1"/>
  <c r="M7" i="1"/>
  <c r="N7" i="1" s="1"/>
  <c r="L41" i="1" l="1"/>
  <c r="L40" i="1"/>
  <c r="L39" i="1"/>
  <c r="L37" i="1"/>
  <c r="L36" i="1"/>
  <c r="L35" i="1"/>
  <c r="L33" i="1"/>
  <c r="L32" i="1"/>
  <c r="L31" i="1"/>
  <c r="G41" i="1"/>
  <c r="G40" i="1"/>
  <c r="G39" i="1"/>
  <c r="G37" i="1"/>
  <c r="G36" i="1"/>
  <c r="G35" i="1"/>
  <c r="G33" i="1"/>
  <c r="G32" i="1"/>
  <c r="G31" i="1"/>
  <c r="J26" i="1"/>
  <c r="J25" i="1"/>
  <c r="J24" i="1"/>
  <c r="J22" i="1"/>
  <c r="J21" i="1"/>
  <c r="J20" i="1"/>
  <c r="J18" i="1"/>
  <c r="J17" i="1"/>
  <c r="J16" i="1"/>
  <c r="J14" i="1"/>
  <c r="J13" i="1"/>
  <c r="J12" i="1"/>
  <c r="J41" i="1"/>
  <c r="J40" i="1"/>
  <c r="J39" i="1"/>
  <c r="J37" i="1"/>
  <c r="J36" i="1"/>
  <c r="J35" i="1"/>
  <c r="J33" i="1"/>
  <c r="J32" i="1"/>
  <c r="J31" i="1"/>
  <c r="L26" i="1"/>
  <c r="L25" i="1"/>
  <c r="L24" i="1"/>
  <c r="L22" i="1"/>
  <c r="L21" i="1"/>
  <c r="L20" i="1"/>
  <c r="L18" i="1"/>
  <c r="L17" i="1"/>
  <c r="L16" i="1"/>
  <c r="L14" i="1"/>
  <c r="L13" i="1"/>
  <c r="G26" i="1"/>
  <c r="G25" i="1"/>
  <c r="G24" i="1"/>
  <c r="G22" i="1"/>
  <c r="G21" i="1"/>
  <c r="G20" i="1"/>
  <c r="G18" i="1"/>
  <c r="G17" i="1"/>
  <c r="G16" i="1"/>
  <c r="G14" i="1"/>
  <c r="G13" i="1"/>
  <c r="L12" i="1"/>
  <c r="G12" i="1"/>
  <c r="J19" i="1" l="1"/>
  <c r="D23" i="9"/>
  <c r="D6" i="9" s="1"/>
  <c r="H23" i="9"/>
  <c r="H6" i="9" s="1"/>
  <c r="J23" i="9"/>
  <c r="J6" i="9" s="1"/>
  <c r="I6" i="1"/>
  <c r="E34" i="1" l="1"/>
  <c r="I32" i="9" l="1"/>
  <c r="B33" i="9"/>
  <c r="B33" i="2"/>
  <c r="E33" i="2" s="1"/>
  <c r="E42" i="1"/>
  <c r="G42" i="1"/>
  <c r="H42" i="1" l="1"/>
  <c r="M42" i="1" s="1"/>
  <c r="E33" i="9"/>
  <c r="K33" i="9" s="1"/>
  <c r="G33" i="9" s="1"/>
  <c r="I33" i="2"/>
  <c r="G33" i="2" s="1"/>
  <c r="B39" i="9"/>
  <c r="I33" i="9" l="1"/>
  <c r="I21" i="3"/>
  <c r="I20" i="3"/>
  <c r="B8" i="2" l="1"/>
  <c r="L42" i="1" l="1"/>
  <c r="B32" i="9" l="1"/>
  <c r="E32" i="9" s="1"/>
  <c r="J42" i="1"/>
  <c r="K42" i="1" s="1"/>
  <c r="B32" i="2"/>
  <c r="E32" i="2" s="1"/>
  <c r="K32" i="9" l="1"/>
  <c r="I32" i="2"/>
  <c r="G32" i="2" l="1"/>
  <c r="A5" i="10" l="1"/>
  <c r="B31" i="9" l="1"/>
  <c r="E31" i="9" s="1"/>
  <c r="K31" i="9" s="1"/>
  <c r="B31" i="2"/>
  <c r="E31" i="2"/>
  <c r="E8" i="2"/>
  <c r="E8" i="9"/>
  <c r="K8" i="9" s="1"/>
  <c r="G8" i="9" s="1"/>
  <c r="I8" i="9" s="1"/>
  <c r="I8" i="2" l="1"/>
  <c r="G8" i="2" s="1"/>
  <c r="I31" i="2"/>
  <c r="G31" i="2" s="1"/>
  <c r="B8" i="3"/>
  <c r="E8" i="3" s="1"/>
  <c r="E21" i="3"/>
  <c r="B33" i="3"/>
  <c r="E46" i="3"/>
  <c r="H46" i="3" s="1"/>
  <c r="N46" i="3" s="1"/>
  <c r="L46" i="3" s="1"/>
  <c r="D45" i="3"/>
  <c r="E33" i="3" l="1"/>
  <c r="I33" i="3" s="1"/>
  <c r="G33" i="3" s="1"/>
  <c r="B30" i="2"/>
  <c r="E38" i="1"/>
  <c r="E30" i="2" l="1"/>
  <c r="I30" i="2" l="1"/>
  <c r="G30" i="2" s="1"/>
  <c r="E7" i="9"/>
  <c r="K7" i="9" s="1"/>
  <c r="G7" i="9" s="1"/>
  <c r="I7" i="9" s="1"/>
  <c r="E20" i="3"/>
  <c r="B30" i="9"/>
  <c r="E30" i="9" s="1"/>
  <c r="K30" i="9" s="1"/>
  <c r="B48" i="5" l="1"/>
  <c r="L38" i="1" l="1"/>
  <c r="G38" i="1"/>
  <c r="H38" i="1" s="1"/>
  <c r="M38" i="1" s="1"/>
  <c r="B29" i="2" l="1"/>
  <c r="E29" i="2" s="1"/>
  <c r="B29" i="9"/>
  <c r="E29" i="9" s="1"/>
  <c r="K29" i="9" s="1"/>
  <c r="J38" i="1"/>
  <c r="F45" i="1"/>
  <c r="I29" i="2" l="1"/>
  <c r="K38" i="1"/>
  <c r="G29" i="2" l="1"/>
  <c r="B28" i="9" l="1"/>
  <c r="E28" i="9" s="1"/>
  <c r="K28" i="9" s="1"/>
  <c r="B28" i="2" l="1"/>
  <c r="E28" i="2" s="1"/>
  <c r="I28" i="2" l="1"/>
  <c r="G28" i="2" s="1"/>
  <c r="L34" i="1"/>
  <c r="B27" i="9" l="1"/>
  <c r="E27" i="9" s="1"/>
  <c r="K27" i="9" s="1"/>
  <c r="B27" i="2"/>
  <c r="E27" i="2" s="1"/>
  <c r="I27" i="2" l="1"/>
  <c r="G27" i="2" s="1"/>
  <c r="J34" i="1"/>
  <c r="B26" i="2"/>
  <c r="E36" i="2" s="1"/>
  <c r="B22" i="2"/>
  <c r="E22" i="2" s="1"/>
  <c r="I22" i="2" s="1"/>
  <c r="G22" i="2" s="1"/>
  <c r="B21" i="2"/>
  <c r="E21" i="2" s="1"/>
  <c r="I21" i="2" s="1"/>
  <c r="G21" i="2" s="1"/>
  <c r="B20" i="2"/>
  <c r="E20" i="2" s="1"/>
  <c r="I20" i="2" s="1"/>
  <c r="G20" i="2" s="1"/>
  <c r="B19" i="2"/>
  <c r="E19" i="2" s="1"/>
  <c r="I19" i="2" s="1"/>
  <c r="G19" i="2" s="1"/>
  <c r="B18" i="2"/>
  <c r="E18" i="2" s="1"/>
  <c r="I18" i="2" s="1"/>
  <c r="G18" i="2" s="1"/>
  <c r="B17" i="2"/>
  <c r="E17" i="2" s="1"/>
  <c r="I17" i="2" s="1"/>
  <c r="G17" i="2" s="1"/>
  <c r="B16" i="2"/>
  <c r="E16" i="2" s="1"/>
  <c r="I16" i="2" s="1"/>
  <c r="G16" i="2" s="1"/>
  <c r="B15" i="2"/>
  <c r="E15" i="2" s="1"/>
  <c r="I15" i="2" s="1"/>
  <c r="G15" i="2" s="1"/>
  <c r="B14" i="2"/>
  <c r="E14" i="2" s="1"/>
  <c r="I14" i="2" s="1"/>
  <c r="G14" i="2" s="1"/>
  <c r="B13" i="2"/>
  <c r="E13" i="2" s="1"/>
  <c r="I13" i="2" s="1"/>
  <c r="G13" i="2" s="1"/>
  <c r="B12" i="2"/>
  <c r="E12" i="2" s="1"/>
  <c r="I12" i="2" s="1"/>
  <c r="G12" i="2" s="1"/>
  <c r="B11" i="2"/>
  <c r="C23" i="9"/>
  <c r="C6" i="9" s="1"/>
  <c r="B22" i="9"/>
  <c r="E22" i="9" s="1"/>
  <c r="B21" i="9"/>
  <c r="B20" i="9"/>
  <c r="B19" i="9"/>
  <c r="E19" i="9" s="1"/>
  <c r="B18" i="9"/>
  <c r="B17" i="9"/>
  <c r="E17" i="9" s="1"/>
  <c r="K17" i="9" s="1"/>
  <c r="G17" i="9" s="1"/>
  <c r="I17" i="9" s="1"/>
  <c r="B16" i="9"/>
  <c r="E16" i="9" s="1"/>
  <c r="K16" i="9" s="1"/>
  <c r="G16" i="9" s="1"/>
  <c r="I16" i="9" s="1"/>
  <c r="B15" i="9"/>
  <c r="E15" i="9" s="1"/>
  <c r="B14" i="9"/>
  <c r="E14" i="9" s="1"/>
  <c r="K14" i="9" s="1"/>
  <c r="G14" i="9" s="1"/>
  <c r="I14" i="9" s="1"/>
  <c r="B13" i="9"/>
  <c r="B12" i="9"/>
  <c r="B11" i="9"/>
  <c r="B6" i="9" s="1"/>
  <c r="E23" i="9" l="1"/>
  <c r="E6" i="9" s="1"/>
  <c r="E11" i="2"/>
  <c r="I11" i="2" s="1"/>
  <c r="G11" i="2" s="1"/>
  <c r="B6" i="2"/>
  <c r="K19" i="9"/>
  <c r="G19" i="9" s="1"/>
  <c r="I19" i="9" s="1"/>
  <c r="D23" i="2"/>
  <c r="D6" i="2" s="1"/>
  <c r="H23" i="2"/>
  <c r="H6" i="2" s="1"/>
  <c r="E12" i="9"/>
  <c r="K12" i="9" s="1"/>
  <c r="G12" i="9" s="1"/>
  <c r="I12" i="9" s="1"/>
  <c r="E20" i="9"/>
  <c r="K20" i="9" s="1"/>
  <c r="G20" i="9" s="1"/>
  <c r="I20" i="9" s="1"/>
  <c r="E18" i="9"/>
  <c r="K18" i="9" s="1"/>
  <c r="G18" i="9" s="1"/>
  <c r="I18" i="9" s="1"/>
  <c r="K15" i="9"/>
  <c r="G15" i="9" s="1"/>
  <c r="I15" i="9" s="1"/>
  <c r="E13" i="9"/>
  <c r="K13" i="9" s="1"/>
  <c r="G13" i="9" s="1"/>
  <c r="I13" i="9" s="1"/>
  <c r="E21" i="9"/>
  <c r="K21" i="9" s="1"/>
  <c r="G21" i="9" s="1"/>
  <c r="I21" i="9" s="1"/>
  <c r="E11" i="9"/>
  <c r="K11" i="9" s="1"/>
  <c r="G34" i="1"/>
  <c r="H45" i="1" l="1"/>
  <c r="H34" i="1"/>
  <c r="M34" i="1" s="1"/>
  <c r="M45" i="1" s="1"/>
  <c r="G11" i="9"/>
  <c r="K34" i="1" l="1"/>
  <c r="K45" i="1" s="1"/>
  <c r="B26" i="9"/>
  <c r="E36" i="9" s="1"/>
  <c r="K22" i="9"/>
  <c r="I11" i="9"/>
  <c r="G22" i="9" l="1"/>
  <c r="G23" i="9" s="1"/>
  <c r="K23" i="9"/>
  <c r="K6" i="9" s="1"/>
  <c r="F15" i="1"/>
  <c r="I22" i="9" l="1"/>
  <c r="I23" i="9" s="1"/>
  <c r="I6" i="9" s="1"/>
  <c r="G6" i="9"/>
  <c r="E27" i="1"/>
  <c r="F28" i="1" l="1"/>
  <c r="F6" i="1" s="1"/>
  <c r="L27" i="1" l="1"/>
  <c r="G27" i="1"/>
  <c r="H27" i="1" s="1"/>
  <c r="M27" i="1" s="1"/>
  <c r="J27" i="1" l="1"/>
  <c r="K27" i="1" s="1"/>
  <c r="E23" i="1" l="1"/>
  <c r="E45" i="3" l="1"/>
  <c r="H45" i="3" s="1"/>
  <c r="B32" i="3"/>
  <c r="E32" i="3" s="1"/>
  <c r="B7" i="3"/>
  <c r="E7" i="3" s="1"/>
  <c r="J7" i="3" s="1"/>
  <c r="N45" i="3" l="1"/>
  <c r="L45" i="3" s="1"/>
  <c r="I32" i="3"/>
  <c r="G32" i="3" s="1"/>
  <c r="L23" i="1"/>
  <c r="G23" i="1" l="1"/>
  <c r="H23" i="1" l="1"/>
  <c r="M23" i="1" s="1"/>
  <c r="J23" i="1"/>
  <c r="K23" i="1" l="1"/>
  <c r="D7" i="1" l="1"/>
  <c r="E19" i="1" l="1"/>
  <c r="B50" i="3" l="1"/>
  <c r="L19" i="1" l="1"/>
  <c r="G19" i="1"/>
  <c r="H19" i="1" l="1"/>
  <c r="M19" i="1" s="1"/>
  <c r="K19" i="1" s="1"/>
  <c r="G22" i="6" l="1"/>
  <c r="L15" i="1" l="1"/>
  <c r="L28" i="1" s="1"/>
  <c r="L6" i="1" s="1"/>
  <c r="G15" i="1"/>
  <c r="G28" i="1" s="1"/>
  <c r="G6" i="1" s="1"/>
  <c r="H28" i="1" l="1"/>
  <c r="H6" i="1" s="1"/>
  <c r="J15" i="1"/>
  <c r="J28" i="1" s="1"/>
  <c r="J6" i="1" s="1"/>
  <c r="H15" i="1"/>
  <c r="E26" i="9" l="1"/>
  <c r="M15" i="1"/>
  <c r="M28" i="1" s="1"/>
  <c r="M6" i="1" s="1"/>
  <c r="N6" i="1" s="1"/>
  <c r="E7" i="1" s="1"/>
  <c r="H7" i="1" s="1"/>
  <c r="E8" i="1" s="1"/>
  <c r="H8" i="1" s="1"/>
  <c r="N8" i="1" s="1"/>
  <c r="E26" i="2"/>
  <c r="B48" i="1"/>
  <c r="K26" i="9" l="1"/>
  <c r="I26" i="2"/>
  <c r="G26" i="2"/>
  <c r="K15" i="1"/>
  <c r="K28" i="1" s="1"/>
  <c r="K6" i="1" s="1"/>
  <c r="B49" i="6" l="1"/>
  <c r="B48" i="4"/>
  <c r="B39" i="2"/>
  <c r="C23" i="2" l="1"/>
  <c r="E23" i="2" l="1"/>
  <c r="E6" i="2" s="1"/>
  <c r="C6" i="2"/>
  <c r="I23" i="2"/>
  <c r="I6" i="2" s="1"/>
  <c r="G23" i="2"/>
  <c r="G6" i="2" s="1"/>
  <c r="J6" i="2" l="1"/>
  <c r="B7" i="2" s="1"/>
  <c r="E7" i="2" s="1"/>
  <c r="I7" i="2" s="1"/>
  <c r="G7" i="2" l="1"/>
  <c r="J8" i="3" l="1"/>
  <c r="I7" i="3"/>
</calcChain>
</file>

<file path=xl/sharedStrings.xml><?xml version="1.0" encoding="utf-8"?>
<sst xmlns="http://schemas.openxmlformats.org/spreadsheetml/2006/main" count="535" uniqueCount="177">
  <si>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</si>
  <si>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</si>
  <si>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</si>
  <si>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</si>
  <si>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</si>
  <si>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</si>
  <si>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</si>
  <si>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</si>
  <si>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</si>
  <si>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</si>
  <si>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</si>
  <si>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</si>
  <si>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</si>
  <si>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</si>
  <si>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</si>
  <si>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</si>
  <si>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 Million pounds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</si>
  <si>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</si>
  <si>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</si>
  <si>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</si>
  <si>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</si>
  <si>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</si>
  <si>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</si>
  <si>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</si>
  <si>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</si>
  <si>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</si>
  <si>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</si>
  <si>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</si>
  <si>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</si>
  <si>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</si>
  <si>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</si>
  <si>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</si>
  <si>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</si>
  <si>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</si>
  <si>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</si>
  <si>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</si>
  <si>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</si>
  <si>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</si>
  <si>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</si>
  <si>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</si>
  <si>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</si>
  <si>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</si>
  <si>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</si>
  <si>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</si>
  <si>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</si>
  <si>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</si>
  <si>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</si>
  <si>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</si>
  <si>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</si>
  <si>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</si>
  <si>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</si>
  <si>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</si>
  <si>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</si>
  <si>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</si>
  <si>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</si>
  <si>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</si>
  <si>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</si>
  <si>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</si>
  <si>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</si>
  <si>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</si>
  <si>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Pounds/acre</t>
  </si>
  <si>
    <t xml:space="preserve">  September-November</t>
  </si>
  <si>
    <t xml:space="preserve">  December-February</t>
  </si>
  <si>
    <t xml:space="preserve">  March-May</t>
  </si>
  <si>
    <t>Year beginning</t>
  </si>
  <si>
    <t>October 1</t>
  </si>
  <si>
    <t>August 1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</si>
  <si>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</si>
  <si>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</si>
  <si>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</si>
  <si>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</si>
  <si>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</si>
  <si>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</si>
  <si>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</si>
  <si>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</si>
  <si>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2013/14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</si>
  <si>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</si>
  <si>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</si>
  <si>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</si>
  <si>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</si>
  <si>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</si>
  <si>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</si>
  <si>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</si>
  <si>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</si>
  <si>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</si>
  <si>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</si>
  <si>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</si>
  <si>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</si>
  <si>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</si>
  <si>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</si>
  <si>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</si>
  <si>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</si>
  <si>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</si>
  <si>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</si>
  <si>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</si>
  <si>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</si>
  <si>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</si>
  <si>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</si>
  <si>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</si>
  <si>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</si>
  <si>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</si>
  <si>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</si>
  <si>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</si>
  <si>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</si>
  <si>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</si>
  <si>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</si>
  <si>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</si>
  <si>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</si>
  <si>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</si>
  <si>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</si>
  <si>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</si>
  <si>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</si>
  <si>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</si>
  <si>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</si>
  <si>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</si>
  <si>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t>2018/19</t>
  </si>
  <si>
    <t>---------------------------------------------Million bushels----------------------------------------------------------</t>
  </si>
  <si>
    <t>2019/20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</si>
  <si>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</si>
  <si>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</si>
  <si>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</si>
  <si>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</si>
  <si>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</si>
  <si>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</si>
  <si>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</si>
  <si>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2020/21</t>
  </si>
  <si>
    <t>Total to date</t>
  </si>
  <si>
    <t xml:space="preserve"> June-August</t>
  </si>
  <si>
    <t>Bushels per acre</t>
  </si>
  <si>
    <t>Soybeans: Quarterly U.S. supply and disappearance</t>
  </si>
  <si>
    <t xml:space="preserve">Dollars per bushel </t>
  </si>
  <si>
    <t xml:space="preserve">Dollars per short ton  </t>
  </si>
  <si>
    <t>Cents per pound</t>
  </si>
  <si>
    <t>Dollars per hundredweight</t>
  </si>
  <si>
    <t>------------------------------------------------------- Cents per pound----------------------------------------------</t>
  </si>
  <si>
    <t>--------------------------------------------------- Dollars per short ton------------------------------------------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</si>
  <si>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</si>
  <si>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</si>
  <si>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</si>
  <si>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</si>
  <si>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</si>
  <si>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</si>
  <si>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</si>
  <si>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</si>
  <si>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</si>
  <si>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Table 1—Soybeans: U.S. supply and disappearance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</si>
  <si>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</si>
  <si>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NA = Not available.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</si>
  <si>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Minneapolis, MN. 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</si>
  <si>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</si>
  <si>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</si>
  <si>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>2021/22</t>
    </r>
    <r>
      <rPr>
        <vertAlign val="superscript"/>
        <sz val="11"/>
        <rFont val="Arial"/>
        <family val="2"/>
      </rPr>
      <t>2</t>
    </r>
  </si>
  <si>
    <r>
      <t>2021/22</t>
    </r>
    <r>
      <rPr>
        <vertAlign val="superscript"/>
        <sz val="11"/>
        <rFont val="Arial"/>
        <family val="2"/>
      </rPr>
      <t>1</t>
    </r>
  </si>
  <si>
    <t>Million Pounds</t>
  </si>
  <si>
    <r>
      <t>2020/21</t>
    </r>
    <r>
      <rPr>
        <vertAlign val="superscript"/>
        <sz val="11"/>
        <rFont val="Arial"/>
        <family val="2"/>
      </rPr>
      <t>4</t>
    </r>
  </si>
  <si>
    <r>
      <t>2021/22</t>
    </r>
    <r>
      <rPr>
        <vertAlign val="superscript"/>
        <sz val="11"/>
        <rFont val="Arial"/>
        <family val="2"/>
      </rPr>
      <t>4</t>
    </r>
  </si>
  <si>
    <r>
      <t>Biofuel</t>
    </r>
    <r>
      <rPr>
        <vertAlign val="superscript"/>
        <sz val="11"/>
        <rFont val="Arial"/>
        <family val="2"/>
      </rPr>
      <t>3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</si>
  <si>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 Note: 1 metric ton equals 2,204.622 pounds. NA: Not available.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</si>
  <si>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</si>
  <si>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</si>
  <si>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Prices.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</si>
  <si>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High-protein,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</si>
  <si>
    <t xml:space="preserve">Contact: Aaron Ates </t>
  </si>
  <si>
    <r>
      <t xml:space="preserve">Sources: USDA, Agricultural Marketing Service, </t>
    </r>
    <r>
      <rPr>
        <i/>
        <sz val="11"/>
        <rFont val="Arial"/>
        <family val="2"/>
      </rPr>
      <t>Monthly Feedstuff Prices</t>
    </r>
    <r>
      <rPr>
        <sz val="11"/>
        <rFont val="Arial"/>
        <family val="2"/>
      </rPr>
      <t xml:space="preserve">; USDA, Agricultural Marketing Service, </t>
    </r>
    <r>
      <rPr>
        <i/>
        <sz val="11"/>
        <rFont val="Arial"/>
        <family val="2"/>
      </rPr>
      <t>USDA Tallow &amp;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</si>
  <si>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>Food &amp; other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</si>
  <si>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</t>
    </r>
  </si>
  <si>
    <t>Week of 2020/21 Marketing Year</t>
  </si>
  <si>
    <t>Date</t>
  </si>
  <si>
    <t>Vegetable Oil Prices, cents per pound</t>
  </si>
  <si>
    <t>Soybean oil</t>
  </si>
  <si>
    <t>Cottonseed oil</t>
  </si>
  <si>
    <t>Canola oil</t>
  </si>
  <si>
    <t>Peanut oil</t>
  </si>
  <si>
    <t>Corn oil</t>
  </si>
  <si>
    <t>Argentina soybean oil export price</t>
  </si>
  <si>
    <t>Argentina soybean oil export price + U.S. import tariff cost</t>
  </si>
  <si>
    <t>U.S. soybean oil export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</si>
</sst>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2" formatCode="#,##0.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0"/>
      <name val="Courier New"/>
      <family val="3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22" fillId="0" borderId="0"/>
    <xf numFmtId="0" fontId="7" fillId="0" borderId="0"/>
    <xf numFmtId="0" fontId="6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29" fillId="0" borderId="0" applyFont="0" applyFill="0" applyBorder="0" applyAlignment="0" applyProtection="0"/>
  </cellStyleXfs>
  <cellXfs count="177">
    <xf numFmtId="0" fontId="0" fillId="0" borderId="0" xfId="0"/>
    <xf numFmtId="0" fontId="9" fillId="0" borderId="0" xfId="8" applyFont="1"/>
    <xf numFmtId="0" fontId="10" fillId="0" borderId="0" xfId="8" applyFont="1"/>
    <xf numFmtId="0" fontId="9" fillId="0" borderId="0" xfId="8" applyFont="1" applyFill="1"/>
    <xf numFmtId="0" fontId="9" fillId="0" borderId="0" xfId="8" quotePrefix="1" applyFont="1"/>
    <xf numFmtId="0" fontId="15" fillId="0" borderId="0" xfId="8" applyFont="1" applyFill="1"/>
    <xf numFmtId="0" fontId="16" fillId="0" borderId="0" xfId="8" applyFont="1"/>
    <xf numFmtId="0" fontId="17" fillId="0" borderId="0" xfId="0" applyFont="1"/>
    <xf numFmtId="169" fontId="17" fillId="0" borderId="1" xfId="1" applyNumberFormat="1" applyFont="1" applyFill="1" applyBorder="1" applyAlignment="1">
      <alignment horizontal="right"/>
    </xf>
    <xf numFmtId="169" fontId="17" fillId="0" borderId="0" xfId="1" applyNumberFormat="1" applyFont="1" applyFill="1" applyAlignment="1">
      <alignment horizontal="right" indent="1"/>
    </xf>
    <xf numFmtId="169" fontId="17" fillId="0" borderId="0" xfId="1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169" fontId="17" fillId="0" borderId="0" xfId="1" applyNumberFormat="1" applyFont="1" applyFill="1" applyBorder="1" applyAlignment="1">
      <alignment horizontal="right" indent="1"/>
    </xf>
    <xf numFmtId="0" fontId="17" fillId="0" borderId="0" xfId="8" applyFont="1" applyBorder="1" applyAlignment="1">
      <alignment vertical="top" wrapText="1"/>
    </xf>
    <xf numFmtId="0" fontId="23" fillId="0" borderId="0" xfId="7" applyFont="1" applyAlignment="1">
      <alignment horizontal="left"/>
    </xf>
    <xf numFmtId="0" fontId="26" fillId="0" borderId="0" xfId="5" applyFont="1" applyAlignment="1" applyProtection="1"/>
    <xf numFmtId="14" fontId="23" fillId="0" borderId="0" xfId="7" applyNumberFormat="1" applyFont="1" applyAlignment="1">
      <alignment horizontal="left"/>
    </xf>
    <xf numFmtId="0" fontId="26" fillId="0" borderId="0" xfId="4" applyFont="1" applyAlignment="1" applyProtection="1"/>
    <xf numFmtId="0" fontId="17" fillId="0" borderId="0" xfId="7" quotePrefix="1" applyFont="1" applyAlignment="1">
      <alignment horizontal="left"/>
    </xf>
    <xf numFmtId="0" fontId="17" fillId="0" borderId="0" xfId="8" applyFont="1" applyBorder="1" applyAlignment="1">
      <alignment wrapText="1"/>
    </xf>
    <xf numFmtId="0" fontId="2" fillId="0" borderId="0" xfId="29"/>
    <xf numFmtId="169" fontId="17" fillId="0" borderId="0" xfId="1" applyNumberFormat="1" applyFont="1" applyFill="1" applyBorder="1" applyAlignment="1">
      <alignment horizontal="right"/>
    </xf>
    <xf numFmtId="169" fontId="17" fillId="0" borderId="0" xfId="0" applyNumberFormat="1" applyFont="1" applyFill="1"/>
    <xf numFmtId="2" fontId="17" fillId="0" borderId="1" xfId="0" applyNumberFormat="1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right" indent="2"/>
    </xf>
    <xf numFmtId="43" fontId="17" fillId="0" borderId="1" xfId="1" applyFont="1" applyFill="1" applyBorder="1" applyAlignment="1">
      <alignment horizontal="center"/>
    </xf>
    <xf numFmtId="0" fontId="17" fillId="0" borderId="1" xfId="0" applyFont="1" applyFill="1" applyBorder="1"/>
    <xf numFmtId="0" fontId="0" fillId="0" borderId="0" xfId="0" applyFill="1"/>
    <xf numFmtId="0" fontId="17" fillId="0" borderId="0" xfId="0" applyFont="1" applyFill="1"/>
    <xf numFmtId="0" fontId="17" fillId="0" borderId="2" xfId="0" applyFont="1" applyFill="1" applyBorder="1" applyAlignment="1">
      <alignment horizontal="right"/>
    </xf>
    <xf numFmtId="0" fontId="17" fillId="0" borderId="0" xfId="0" applyFont="1" applyFill="1" applyAlignment="1">
      <alignment horizontal="center"/>
    </xf>
    <xf numFmtId="0" fontId="0" fillId="0" borderId="2" xfId="0" applyFill="1" applyBorder="1"/>
    <xf numFmtId="0" fontId="17" fillId="0" borderId="0" xfId="0" applyFont="1" applyFill="1" applyBorder="1"/>
    <xf numFmtId="0" fontId="17" fillId="0" borderId="2" xfId="0" applyFont="1" applyFill="1" applyBorder="1" applyAlignment="1">
      <alignment horizontal="left"/>
    </xf>
    <xf numFmtId="0" fontId="17" fillId="0" borderId="0" xfId="0" applyFont="1" applyFill="1" applyAlignment="1">
      <alignment horizontal="right"/>
    </xf>
    <xf numFmtId="16" fontId="17" fillId="0" borderId="1" xfId="0" quotePrefix="1" applyNumberFormat="1" applyFont="1" applyFill="1" applyBorder="1"/>
    <xf numFmtId="16" fontId="17" fillId="0" borderId="1" xfId="0" applyNumberFormat="1" applyFont="1" applyFill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18" fillId="0" borderId="3" xfId="0" quotePrefix="1" applyFont="1" applyFill="1" applyBorder="1" applyAlignment="1">
      <alignment horizontal="center"/>
    </xf>
    <xf numFmtId="0" fontId="18" fillId="0" borderId="0" xfId="0" quotePrefix="1" applyFont="1" applyFill="1" applyAlignment="1">
      <alignment horizontal="right"/>
    </xf>
    <xf numFmtId="167" fontId="17" fillId="0" borderId="0" xfId="0" applyNumberFormat="1" applyFont="1" applyFill="1" applyAlignment="1">
      <alignment horizontal="center"/>
    </xf>
    <xf numFmtId="165" fontId="17" fillId="0" borderId="0" xfId="1" applyNumberFormat="1" applyFont="1" applyFill="1" applyAlignment="1">
      <alignment horizontal="left"/>
    </xf>
    <xf numFmtId="165" fontId="17" fillId="0" borderId="0" xfId="1" applyNumberFormat="1" applyFont="1" applyFill="1" applyAlignment="1">
      <alignment horizontal="center"/>
    </xf>
    <xf numFmtId="3" fontId="17" fillId="0" borderId="0" xfId="1" applyNumberFormat="1" applyFont="1" applyFill="1" applyBorder="1" applyAlignment="1">
      <alignment horizontal="right" indent="1"/>
    </xf>
    <xf numFmtId="164" fontId="17" fillId="0" borderId="0" xfId="1" applyNumberFormat="1" applyFont="1" applyFill="1" applyBorder="1"/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23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169" fontId="17" fillId="0" borderId="0" xfId="1" quotePrefix="1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center"/>
    </xf>
    <xf numFmtId="164" fontId="17" fillId="0" borderId="0" xfId="1" quotePrefix="1" applyNumberFormat="1" applyFont="1" applyFill="1" applyBorder="1" applyAlignment="1">
      <alignment horizontal="center"/>
    </xf>
    <xf numFmtId="164" fontId="17" fillId="0" borderId="0" xfId="1" quotePrefix="1" applyNumberFormat="1" applyFont="1" applyFill="1" applyAlignment="1">
      <alignment horizontal="center"/>
    </xf>
    <xf numFmtId="169" fontId="17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7" fillId="0" borderId="0" xfId="0" applyNumberFormat="1" applyFont="1" applyFill="1"/>
    <xf numFmtId="0" fontId="9" fillId="0" borderId="1" xfId="0" applyFont="1" applyFill="1" applyBorder="1"/>
    <xf numFmtId="164" fontId="17" fillId="0" borderId="1" xfId="1" applyNumberFormat="1" applyFont="1" applyFill="1" applyBorder="1" applyAlignment="1">
      <alignment horizontal="center"/>
    </xf>
    <xf numFmtId="164" fontId="17" fillId="0" borderId="1" xfId="1" quotePrefix="1" applyNumberFormat="1" applyFont="1" applyFill="1" applyBorder="1" applyAlignment="1">
      <alignment horizontal="center"/>
    </xf>
    <xf numFmtId="169" fontId="17" fillId="0" borderId="1" xfId="1" applyNumberFormat="1" applyFont="1" applyFill="1" applyBorder="1" applyAlignment="1">
      <alignment horizontal="right" indent="1"/>
    </xf>
    <xf numFmtId="169" fontId="17" fillId="0" borderId="1" xfId="1" quotePrefix="1" applyNumberFormat="1" applyFont="1" applyFill="1" applyBorder="1" applyAlignment="1">
      <alignment horizontal="right"/>
    </xf>
    <xf numFmtId="0" fontId="19" fillId="0" borderId="0" xfId="0" applyFont="1" applyFill="1" applyBorder="1"/>
    <xf numFmtId="164" fontId="17" fillId="0" borderId="0" xfId="0" applyNumberFormat="1" applyFont="1" applyFill="1" applyBorder="1"/>
    <xf numFmtId="164" fontId="17" fillId="0" borderId="0" xfId="1" applyNumberFormat="1" applyFont="1" applyFill="1"/>
    <xf numFmtId="14" fontId="17" fillId="0" borderId="0" xfId="0" applyNumberFormat="1" applyFont="1" applyFill="1" applyAlignment="1">
      <alignment horizontal="left"/>
    </xf>
    <xf numFmtId="0" fontId="9" fillId="0" borderId="0" xfId="0" applyFont="1" applyFill="1"/>
    <xf numFmtId="0" fontId="0" fillId="0" borderId="0" xfId="0" applyFill="1" applyProtection="1"/>
    <xf numFmtId="0" fontId="17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3" fontId="17" fillId="0" borderId="0" xfId="1" applyNumberFormat="1" applyFont="1" applyFill="1" applyAlignment="1">
      <alignment horizontal="right" indent="2"/>
    </xf>
    <xf numFmtId="3" fontId="17" fillId="0" borderId="0" xfId="1" applyNumberFormat="1" applyFont="1" applyFill="1" applyAlignment="1">
      <alignment horizontal="right" indent="1"/>
    </xf>
    <xf numFmtId="3" fontId="17" fillId="0" borderId="0" xfId="1" applyNumberFormat="1" applyFont="1" applyFill="1" applyAlignment="1">
      <alignment horizontal="center"/>
    </xf>
    <xf numFmtId="0" fontId="23" fillId="0" borderId="0" xfId="0" applyFont="1" applyFill="1" applyBorder="1"/>
    <xf numFmtId="169" fontId="17" fillId="0" borderId="0" xfId="1" applyNumberFormat="1" applyFont="1" applyFill="1" applyBorder="1" applyAlignment="1">
      <alignment horizontal="right" indent="2"/>
    </xf>
    <xf numFmtId="169" fontId="17" fillId="0" borderId="1" xfId="1" applyNumberFormat="1" applyFont="1" applyFill="1" applyBorder="1" applyAlignment="1">
      <alignment horizontal="right" indent="2"/>
    </xf>
    <xf numFmtId="0" fontId="19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7" fillId="0" borderId="0" xfId="0" applyNumberFormat="1" applyFont="1" applyFill="1" applyBorder="1"/>
    <xf numFmtId="169" fontId="17" fillId="0" borderId="1" xfId="1" applyNumberFormat="1" applyFont="1" applyFill="1" applyBorder="1" applyAlignment="1">
      <alignment horizontal="center"/>
    </xf>
    <xf numFmtId="165" fontId="17" fillId="0" borderId="1" xfId="1" applyNumberFormat="1" applyFont="1" applyFill="1" applyBorder="1" applyAlignment="1">
      <alignment horizontal="right"/>
    </xf>
    <xf numFmtId="16" fontId="17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right" indent="2"/>
    </xf>
    <xf numFmtId="170" fontId="17" fillId="0" borderId="0" xfId="0" applyNumberFormat="1" applyFont="1" applyFill="1" applyBorder="1"/>
    <xf numFmtId="43" fontId="17" fillId="0" borderId="0" xfId="1" quotePrefix="1" applyNumberFormat="1" applyFont="1" applyFill="1" applyBorder="1" applyAlignment="1">
      <alignment horizontal="center"/>
    </xf>
    <xf numFmtId="166" fontId="17" fillId="0" borderId="0" xfId="1" quotePrefix="1" applyNumberFormat="1" applyFont="1" applyFill="1" applyBorder="1" applyAlignment="1">
      <alignment horizontal="center"/>
    </xf>
    <xf numFmtId="43" fontId="17" fillId="0" borderId="0" xfId="1" quotePrefix="1" applyFont="1" applyFill="1" applyBorder="1" applyAlignment="1">
      <alignment horizontal="center"/>
    </xf>
    <xf numFmtId="43" fontId="17" fillId="0" borderId="0" xfId="1" applyNumberFormat="1" applyFont="1" applyFill="1" applyBorder="1" applyAlignment="1">
      <alignment horizontal="center"/>
    </xf>
    <xf numFmtId="0" fontId="23" fillId="0" borderId="0" xfId="0" quotePrefix="1" applyFont="1" applyFill="1"/>
    <xf numFmtId="43" fontId="17" fillId="0" borderId="0" xfId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indent="1"/>
    </xf>
    <xf numFmtId="0" fontId="17" fillId="0" borderId="3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8" fillId="0" borderId="3" xfId="0" quotePrefix="1" applyFont="1" applyFill="1" applyBorder="1" applyAlignment="1"/>
    <xf numFmtId="0" fontId="18" fillId="0" borderId="3" xfId="0" applyFont="1" applyFill="1" applyBorder="1" applyAlignment="1"/>
    <xf numFmtId="43" fontId="17" fillId="0" borderId="0" xfId="1" applyNumberFormat="1" applyFont="1" applyFill="1" applyBorder="1"/>
    <xf numFmtId="0" fontId="8" fillId="0" borderId="0" xfId="0" applyFont="1" applyFill="1"/>
    <xf numFmtId="2" fontId="17" fillId="0" borderId="0" xfId="0" applyNumberFormat="1" applyFont="1" applyFill="1" applyBorder="1" applyAlignment="1">
      <alignment horizontal="center"/>
    </xf>
    <xf numFmtId="43" fontId="17" fillId="0" borderId="0" xfId="0" applyNumberFormat="1" applyFont="1" applyFill="1"/>
    <xf numFmtId="0" fontId="12" fillId="0" borderId="0" xfId="0" applyFont="1" applyFill="1"/>
    <xf numFmtId="2" fontId="0" fillId="0" borderId="0" xfId="0" applyNumberFormat="1" applyFill="1"/>
    <xf numFmtId="165" fontId="17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7" fillId="0" borderId="0" xfId="1" applyFont="1" applyFill="1" applyBorder="1" applyAlignment="1">
      <alignment horizontal="center"/>
    </xf>
    <xf numFmtId="0" fontId="17" fillId="0" borderId="0" xfId="0" quotePrefix="1" applyFont="1" applyFill="1" applyBorder="1"/>
    <xf numFmtId="167" fontId="0" fillId="0" borderId="0" xfId="0" applyNumberFormat="1" applyFill="1"/>
    <xf numFmtId="43" fontId="0" fillId="0" borderId="0" xfId="1" applyFont="1" applyFill="1"/>
    <xf numFmtId="43" fontId="8" fillId="0" borderId="0" xfId="1" applyFont="1" applyFill="1"/>
    <xf numFmtId="0" fontId="21" fillId="0" borderId="0" xfId="0" applyFont="1" applyFill="1" applyAlignment="1">
      <alignment vertical="center"/>
    </xf>
    <xf numFmtId="168" fontId="0" fillId="0" borderId="0" xfId="0" applyNumberFormat="1" applyFill="1"/>
    <xf numFmtId="0" fontId="25" fillId="0" borderId="0" xfId="0" applyFont="1" applyFill="1"/>
    <xf numFmtId="168" fontId="17" fillId="0" borderId="0" xfId="0" applyNumberFormat="1" applyFont="1" applyFill="1"/>
    <xf numFmtId="2" fontId="17" fillId="0" borderId="0" xfId="0" applyNumberFormat="1" applyFont="1" applyFill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0" applyNumberFormat="1" applyFill="1"/>
    <xf numFmtId="0" fontId="17" fillId="0" borderId="3" xfId="0" applyFont="1" applyFill="1" applyBorder="1"/>
    <xf numFmtId="0" fontId="17" fillId="0" borderId="0" xfId="0" applyFont="1" applyFill="1" applyBorder="1" applyAlignment="1">
      <alignment horizontal="right"/>
    </xf>
    <xf numFmtId="37" fontId="17" fillId="0" borderId="0" xfId="1" applyNumberFormat="1" applyFont="1" applyFill="1" applyAlignment="1">
      <alignment horizontal="center"/>
    </xf>
    <xf numFmtId="37" fontId="17" fillId="0" borderId="0" xfId="1" applyNumberFormat="1" applyFont="1" applyFill="1" applyAlignment="1">
      <alignment horizontal="right" indent="2"/>
    </xf>
    <xf numFmtId="165" fontId="17" fillId="0" borderId="0" xfId="1" applyNumberFormat="1" applyFont="1" applyFill="1"/>
    <xf numFmtId="37" fontId="17" fillId="0" borderId="0" xfId="1" applyNumberFormat="1" applyFont="1" applyFill="1" applyAlignment="1">
      <alignment horizontal="right" indent="1"/>
    </xf>
    <xf numFmtId="37" fontId="17" fillId="0" borderId="0" xfId="1" applyNumberFormat="1" applyFont="1" applyFill="1" applyBorder="1" applyAlignment="1">
      <alignment horizontal="center"/>
    </xf>
    <xf numFmtId="37" fontId="17" fillId="0" borderId="0" xfId="1" applyNumberFormat="1" applyFont="1" applyFill="1" applyBorder="1" applyAlignment="1">
      <alignment horizontal="right" indent="2"/>
    </xf>
    <xf numFmtId="165" fontId="17" fillId="0" borderId="0" xfId="1" applyNumberFormat="1" applyFont="1" applyFill="1" applyBorder="1"/>
    <xf numFmtId="37" fontId="17" fillId="0" borderId="0" xfId="1" applyNumberFormat="1" applyFont="1" applyFill="1" applyBorder="1" applyAlignment="1">
      <alignment horizontal="right" indent="1"/>
    </xf>
    <xf numFmtId="37" fontId="17" fillId="0" borderId="1" xfId="1" applyNumberFormat="1" applyFont="1" applyFill="1" applyBorder="1" applyAlignment="1">
      <alignment horizontal="center"/>
    </xf>
    <xf numFmtId="37" fontId="17" fillId="0" borderId="1" xfId="1" applyNumberFormat="1" applyFont="1" applyFill="1" applyBorder="1" applyAlignment="1">
      <alignment horizontal="right" indent="2"/>
    </xf>
    <xf numFmtId="165" fontId="17" fillId="0" borderId="1" xfId="1" applyNumberFormat="1" applyFont="1" applyFill="1" applyBorder="1"/>
    <xf numFmtId="37" fontId="17" fillId="0" borderId="1" xfId="1" applyNumberFormat="1" applyFont="1" applyFill="1" applyBorder="1" applyAlignment="1">
      <alignment horizontal="right" indent="1"/>
    </xf>
    <xf numFmtId="9" fontId="17" fillId="0" borderId="0" xfId="12" applyFont="1" applyFill="1"/>
    <xf numFmtId="1" fontId="17" fillId="0" borderId="0" xfId="0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18" fillId="0" borderId="4" xfId="0" applyFont="1" applyFill="1" applyBorder="1" applyAlignment="1">
      <alignment horizontal="center"/>
    </xf>
    <xf numFmtId="14" fontId="17" fillId="0" borderId="0" xfId="0" applyNumberFormat="1" applyFont="1" applyFill="1" applyAlignment="1">
      <alignment horizontal="right" indent="1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3" fontId="0" fillId="0" borderId="0" xfId="0" applyNumberFormat="1" applyFill="1"/>
    <xf numFmtId="169" fontId="17" fillId="0" borderId="0" xfId="1" applyNumberFormat="1" applyFont="1" applyFill="1" applyAlignment="1">
      <alignment horizontal="center"/>
    </xf>
    <xf numFmtId="4" fontId="0" fillId="0" borderId="0" xfId="0" applyNumberFormat="1" applyFill="1"/>
    <xf numFmtId="0" fontId="28" fillId="0" borderId="1" xfId="30" applyFont="1" applyBorder="1" applyAlignment="1">
      <alignment horizontal="center"/>
    </xf>
    <xf numFmtId="0" fontId="28" fillId="0" borderId="1" xfId="30" applyFont="1" applyBorder="1" applyAlignment="1">
      <alignment horizontal="left"/>
    </xf>
    <xf numFmtId="0" fontId="1" fillId="0" borderId="0" xfId="30"/>
    <xf numFmtId="0" fontId="28" fillId="0" borderId="1" xfId="29" applyFont="1" applyBorder="1" applyAlignment="1">
      <alignment horizontal="center" wrapText="1"/>
    </xf>
    <xf numFmtId="0" fontId="2" fillId="0" borderId="0" xfId="29" applyAlignment="1">
      <alignment horizontal="center"/>
    </xf>
    <xf numFmtId="0" fontId="1" fillId="0" borderId="0" xfId="30" applyNumberFormat="1"/>
    <xf numFmtId="17" fontId="27" fillId="0" borderId="0" xfId="30" applyNumberFormat="1" applyFont="1" applyAlignment="1">
      <alignment horizontal="left"/>
    </xf>
    <xf numFmtId="43" fontId="27" fillId="0" borderId="0" xfId="30" applyNumberFormat="1" applyFont="1" applyAlignment="1">
      <alignment horizontal="right"/>
    </xf>
    <xf numFmtId="43" fontId="8" fillId="0" borderId="0" xfId="31" applyNumberFormat="1" applyFont="1" applyAlignment="1">
      <alignment horizontal="right"/>
    </xf>
    <xf numFmtId="0" fontId="27" fillId="0" borderId="0" xfId="30" applyNumberFormat="1" applyFont="1"/>
    <xf numFmtId="0" fontId="28" fillId="0" borderId="1" xfId="30" applyFont="1" applyBorder="1" applyAlignment="1">
      <alignment horizontal="centerContinuous"/>
    </xf>
    <xf numFmtId="0" fontId="27" fillId="0" borderId="1" xfId="30" applyFont="1" applyBorder="1" applyAlignment="1">
      <alignment horizontal="centerContinuous"/>
    </xf>
    <xf numFmtId="0" fontId="28" fillId="0" borderId="1" xfId="30" applyFont="1" applyBorder="1"/>
    <xf numFmtId="0" fontId="28" fillId="0" borderId="1" xfId="30" applyNumberFormat="1" applyFont="1" applyBorder="1" applyAlignment="1">
      <alignment horizontal="left"/>
    </xf>
    <xf numFmtId="2" fontId="12" fillId="0" borderId="0" xfId="0" applyNumberFormat="1" applyFont="1" applyFill="1"/>
    <xf numFmtId="172" fontId="17" fillId="0" borderId="0" xfId="1" applyNumberFormat="1" applyFont="1" applyFill="1" applyBorder="1" applyAlignment="1">
      <alignment horizontal="right" indent="1"/>
    </xf>
    <xf numFmtId="0" fontId="17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2" xfId="0" quotePrefix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5" xfId="0" quotePrefix="1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41" fontId="2" fillId="0" borderId="0" xfId="32" applyNumberFormat="1" applyFont="1"/>
    <xf numFmtId="41" fontId="27" fillId="0" borderId="0" xfId="32" applyNumberFormat="1" applyFont="1" applyBorder="1" applyAlignment="1">
      <alignment horizontal="center"/>
    </xf>
    <xf numFmtId="41" fontId="8" fillId="0" borderId="0" xfId="32" applyNumberFormat="1" applyFont="1"/>
    <xf numFmtId="41" fontId="27" fillId="0" borderId="0" xfId="32" applyNumberFormat="1" applyFont="1" applyAlignment="1">
      <alignment horizontal="center"/>
    </xf>
  </cellXfs>
  <cellStyles count="33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" xfId="32" builtinId="4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0000FF"/>
      <color rgb="FFFFCF01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Historical U.S. vegetable oil prices</a:t>
            </a: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30226102837E-2"/>
          <c:y val="0.15432402317634825"/>
          <c:w val="0.79446092392393375"/>
          <c:h val="0.66209404248997161"/>
        </c:manualLayout>
      </c:layout>
      <c:lineChart>
        <c:grouping val="standard"/>
        <c:varyColors val="0"/>
        <c:ser>
          <c:idx val="0"/>
          <c:order val="0"/>
          <c:tx>
            <c:strRef>
              <c:f>Cover!$B$2</c:f>
              <c:strCache>
                <c:ptCount val="1"/>
                <c:pt idx="0">
                  <c:v>Soybean oil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Cover!$A$3:$A$25</c:f>
              <c:numCache>
                <c:formatCode>mmm\-yy</c:formatCode>
                <c:ptCount val="23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</c:numCache>
            </c:numRef>
          </c:cat>
          <c:val>
            <c:numRef>
              <c:f>Cover!$B$3:$B$25</c:f>
              <c:numCache>
                <c:formatCode>_(* #,##0.00_);_(* \(#,##0.00\);_(* "-"??_);_(@_)</c:formatCode>
                <c:ptCount val="23"/>
                <c:pt idx="0">
                  <c:v>30.14</c:v>
                </c:pt>
                <c:pt idx="1">
                  <c:v>30.62</c:v>
                </c:pt>
                <c:pt idx="2">
                  <c:v>32.270000000000003</c:v>
                </c:pt>
                <c:pt idx="3">
                  <c:v>33.04</c:v>
                </c:pt>
                <c:pt idx="4">
                  <c:v>30.26</c:v>
                </c:pt>
                <c:pt idx="5">
                  <c:v>27.04</c:v>
                </c:pt>
                <c:pt idx="6">
                  <c:v>25.69</c:v>
                </c:pt>
                <c:pt idx="7">
                  <c:v>25.27</c:v>
                </c:pt>
                <c:pt idx="8">
                  <c:v>26.61</c:v>
                </c:pt>
                <c:pt idx="9">
                  <c:v>28.71</c:v>
                </c:pt>
                <c:pt idx="10">
                  <c:v>32.130000000000003</c:v>
                </c:pt>
                <c:pt idx="11">
                  <c:v>34.200000000000003</c:v>
                </c:pt>
                <c:pt idx="12">
                  <c:v>33.909999999999997</c:v>
                </c:pt>
                <c:pt idx="13">
                  <c:v>37.79</c:v>
                </c:pt>
                <c:pt idx="14">
                  <c:v>40.85</c:v>
                </c:pt>
                <c:pt idx="15">
                  <c:v>44.31</c:v>
                </c:pt>
                <c:pt idx="16">
                  <c:v>48.37</c:v>
                </c:pt>
                <c:pt idx="17">
                  <c:v>54</c:v>
                </c:pt>
                <c:pt idx="18">
                  <c:v>62.88</c:v>
                </c:pt>
                <c:pt idx="19">
                  <c:v>74.75</c:v>
                </c:pt>
                <c:pt idx="20">
                  <c:v>74.75</c:v>
                </c:pt>
                <c:pt idx="21">
                  <c:v>72.930000000000007</c:v>
                </c:pt>
                <c:pt idx="22">
                  <c:v>70.010000000000005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B-4B22-973D-06B70E8A63A2}"/>
            </c:ext>
          </c:extLst>
        </c:ser>
        <c:ser>
          <c:idx val="1"/>
          <c:order val="1"/>
          <c:tx>
            <c:strRef>
              <c:f>Cover!$C$2</c:f>
              <c:strCache>
                <c:ptCount val="1"/>
                <c:pt idx="0">
                  <c:v>Cottonseed oil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Cover!$A$3:$A$25</c:f>
              <c:numCache>
                <c:formatCode>mmm\-yy</c:formatCode>
                <c:ptCount val="23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</c:numCache>
            </c:numRef>
          </c:cat>
          <c:val>
            <c:numRef>
              <c:f>Cover!$C$3:$C$25</c:f>
              <c:numCache>
                <c:formatCode>_(* #,##0.00_);_(* \(#,##0.00\);_(* "-"??_);_(@_)</c:formatCode>
                <c:ptCount val="23"/>
                <c:pt idx="0">
                  <c:v>37.94</c:v>
                </c:pt>
                <c:pt idx="1">
                  <c:v>38.4</c:v>
                </c:pt>
                <c:pt idx="2">
                  <c:v>40.25</c:v>
                </c:pt>
                <c:pt idx="3">
                  <c:v>40.1</c:v>
                </c:pt>
                <c:pt idx="4">
                  <c:v>38.5</c:v>
                </c:pt>
                <c:pt idx="5">
                  <c:v>36.19</c:v>
                </c:pt>
                <c:pt idx="6">
                  <c:v>37.31</c:v>
                </c:pt>
                <c:pt idx="7">
                  <c:v>37.200000000000003</c:v>
                </c:pt>
                <c:pt idx="8">
                  <c:v>36.75</c:v>
                </c:pt>
                <c:pt idx="9">
                  <c:v>43</c:v>
                </c:pt>
                <c:pt idx="10">
                  <c:v>46.81</c:v>
                </c:pt>
                <c:pt idx="11">
                  <c:v>49.69</c:v>
                </c:pt>
                <c:pt idx="12">
                  <c:v>48.35</c:v>
                </c:pt>
                <c:pt idx="13">
                  <c:v>54.4375</c:v>
                </c:pt>
                <c:pt idx="14">
                  <c:v>59.2</c:v>
                </c:pt>
                <c:pt idx="15">
                  <c:v>63.1875</c:v>
                </c:pt>
                <c:pt idx="16">
                  <c:v>73.625</c:v>
                </c:pt>
                <c:pt idx="17">
                  <c:v>86.9375</c:v>
                </c:pt>
                <c:pt idx="18">
                  <c:v>92.65</c:v>
                </c:pt>
                <c:pt idx="19">
                  <c:v>102.1875</c:v>
                </c:pt>
                <c:pt idx="20">
                  <c:v>100.6875</c:v>
                </c:pt>
                <c:pt idx="21">
                  <c:v>99.9</c:v>
                </c:pt>
                <c:pt idx="22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6B-4B22-973D-06B70E8A63A2}"/>
            </c:ext>
          </c:extLst>
        </c:ser>
        <c:ser>
          <c:idx val="3"/>
          <c:order val="2"/>
          <c:tx>
            <c:strRef>
              <c:f>Cover!$D$2</c:f>
              <c:strCache>
                <c:ptCount val="1"/>
                <c:pt idx="0">
                  <c:v>Canola oil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Cover!$A$3:$A$25</c:f>
              <c:numCache>
                <c:formatCode>mmm\-yy</c:formatCode>
                <c:ptCount val="23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</c:numCache>
            </c:numRef>
          </c:cat>
          <c:val>
            <c:numRef>
              <c:f>Cover!$D$3:$D$25</c:f>
              <c:numCache>
                <c:formatCode>_(* #,##0.00_);_(* \(#,##0.00\);_(* "-"??_);_(@_)</c:formatCode>
                <c:ptCount val="23"/>
                <c:pt idx="0">
                  <c:v>36.31</c:v>
                </c:pt>
                <c:pt idx="1">
                  <c:v>36.15</c:v>
                </c:pt>
                <c:pt idx="2">
                  <c:v>38.06</c:v>
                </c:pt>
                <c:pt idx="3">
                  <c:v>37.9</c:v>
                </c:pt>
                <c:pt idx="4">
                  <c:v>35.5</c:v>
                </c:pt>
                <c:pt idx="5">
                  <c:v>32.880000000000003</c:v>
                </c:pt>
                <c:pt idx="6">
                  <c:v>32.380000000000003</c:v>
                </c:pt>
                <c:pt idx="7">
                  <c:v>32.4</c:v>
                </c:pt>
                <c:pt idx="8">
                  <c:v>36.630000000000003</c:v>
                </c:pt>
                <c:pt idx="9">
                  <c:v>40.5</c:v>
                </c:pt>
                <c:pt idx="10">
                  <c:v>47.81</c:v>
                </c:pt>
                <c:pt idx="11">
                  <c:v>47.94</c:v>
                </c:pt>
                <c:pt idx="12">
                  <c:v>44.35</c:v>
                </c:pt>
                <c:pt idx="13">
                  <c:v>49.5</c:v>
                </c:pt>
                <c:pt idx="14">
                  <c:v>51.65</c:v>
                </c:pt>
                <c:pt idx="15">
                  <c:v>53.3125</c:v>
                </c:pt>
                <c:pt idx="16">
                  <c:v>58.9375</c:v>
                </c:pt>
                <c:pt idx="17">
                  <c:v>71.3125</c:v>
                </c:pt>
                <c:pt idx="18">
                  <c:v>79.55</c:v>
                </c:pt>
                <c:pt idx="19">
                  <c:v>94.0625</c:v>
                </c:pt>
                <c:pt idx="20">
                  <c:v>93.5</c:v>
                </c:pt>
                <c:pt idx="21">
                  <c:v>92.3</c:v>
                </c:pt>
                <c:pt idx="22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6B-4B22-973D-06B70E8A63A2}"/>
            </c:ext>
          </c:extLst>
        </c:ser>
        <c:ser>
          <c:idx val="4"/>
          <c:order val="3"/>
          <c:tx>
            <c:strRef>
              <c:f>Cover!$E$2</c:f>
              <c:strCache>
                <c:ptCount val="1"/>
                <c:pt idx="0">
                  <c:v>Peanut oil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Cover!$A$3:$A$25</c:f>
              <c:numCache>
                <c:formatCode>mmm\-yy</c:formatCode>
                <c:ptCount val="23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</c:numCache>
            </c:numRef>
          </c:cat>
          <c:val>
            <c:numRef>
              <c:f>Cover!$E$3:$E$25</c:f>
              <c:numCache>
                <c:formatCode>_(* #,##0.00_);_(* \(#,##0.00\);_(* "-"??_);_(@_)</c:formatCode>
                <c:ptCount val="23"/>
                <c:pt idx="0">
                  <c:v>61.5</c:v>
                </c:pt>
                <c:pt idx="1">
                  <c:v>63.1</c:v>
                </c:pt>
                <c:pt idx="2">
                  <c:v>60.13</c:v>
                </c:pt>
                <c:pt idx="3">
                  <c:v>59</c:v>
                </c:pt>
                <c:pt idx="4">
                  <c:v>59</c:v>
                </c:pt>
                <c:pt idx="5">
                  <c:v>59.75</c:v>
                </c:pt>
                <c:pt idx="6">
                  <c:v>59.5</c:v>
                </c:pt>
                <c:pt idx="7">
                  <c:v>62.1</c:v>
                </c:pt>
                <c:pt idx="8">
                  <c:v>84.75</c:v>
                </c:pt>
                <c:pt idx="9">
                  <c:v>85</c:v>
                </c:pt>
                <c:pt idx="10">
                  <c:v>90</c:v>
                </c:pt>
                <c:pt idx="11">
                  <c:v>90</c:v>
                </c:pt>
                <c:pt idx="12">
                  <c:v>93</c:v>
                </c:pt>
                <c:pt idx="13">
                  <c:v>98.75</c:v>
                </c:pt>
                <c:pt idx="14">
                  <c:v>100</c:v>
                </c:pt>
                <c:pt idx="15">
                  <c:v>90</c:v>
                </c:pt>
                <c:pt idx="16">
                  <c:v>93</c:v>
                </c:pt>
                <c:pt idx="17">
                  <c:v>105.25</c:v>
                </c:pt>
                <c:pt idx="18">
                  <c:v>109.2</c:v>
                </c:pt>
                <c:pt idx="19">
                  <c:v>110</c:v>
                </c:pt>
                <c:pt idx="20">
                  <c:v>108.1875</c:v>
                </c:pt>
                <c:pt idx="21">
                  <c:v>106</c:v>
                </c:pt>
                <c:pt idx="22">
                  <c:v>108.75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6B-4B22-973D-06B70E8A63A2}"/>
            </c:ext>
          </c:extLst>
        </c:ser>
        <c:ser>
          <c:idx val="5"/>
          <c:order val="4"/>
          <c:tx>
            <c:strRef>
              <c:f>Cover!$F$2</c:f>
              <c:strCache>
                <c:ptCount val="1"/>
                <c:pt idx="0">
                  <c:v>Corn oil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Cover!$A$3:$A$25</c:f>
              <c:numCache>
                <c:formatCode>mmm\-yy</c:formatCode>
                <c:ptCount val="23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</c:numCache>
            </c:numRef>
          </c:cat>
          <c:val>
            <c:numRef>
              <c:f>Cover!$F$3:$F$25</c:f>
              <c:numCache>
                <c:formatCode>_(* #,##0.00_);_(* \(#,##0.00\);_(* "-"??_);_(@_)</c:formatCode>
                <c:ptCount val="23"/>
                <c:pt idx="0">
                  <c:v>28.3</c:v>
                </c:pt>
                <c:pt idx="1">
                  <c:v>30.36</c:v>
                </c:pt>
                <c:pt idx="2">
                  <c:v>31.25</c:v>
                </c:pt>
                <c:pt idx="3">
                  <c:v>33.299999999999997</c:v>
                </c:pt>
                <c:pt idx="4">
                  <c:v>36</c:v>
                </c:pt>
                <c:pt idx="5">
                  <c:v>36.94</c:v>
                </c:pt>
                <c:pt idx="6">
                  <c:v>44.88</c:v>
                </c:pt>
                <c:pt idx="7">
                  <c:v>47.64</c:v>
                </c:pt>
                <c:pt idx="8">
                  <c:v>51.34</c:v>
                </c:pt>
                <c:pt idx="9">
                  <c:v>45.45</c:v>
                </c:pt>
                <c:pt idx="10">
                  <c:v>44.75</c:v>
                </c:pt>
                <c:pt idx="11">
                  <c:v>43.38</c:v>
                </c:pt>
                <c:pt idx="12">
                  <c:v>42.4375</c:v>
                </c:pt>
                <c:pt idx="13">
                  <c:v>42.524999999999999</c:v>
                </c:pt>
                <c:pt idx="14">
                  <c:v>41.725000000000001</c:v>
                </c:pt>
                <c:pt idx="15">
                  <c:v>43.337499999999999</c:v>
                </c:pt>
                <c:pt idx="16">
                  <c:v>44.945</c:v>
                </c:pt>
                <c:pt idx="17">
                  <c:v>52.05</c:v>
                </c:pt>
                <c:pt idx="18">
                  <c:v>59.8125</c:v>
                </c:pt>
                <c:pt idx="19">
                  <c:v>68.25</c:v>
                </c:pt>
                <c:pt idx="20">
                  <c:v>67.599999999999994</c:v>
                </c:pt>
                <c:pt idx="21">
                  <c:v>66.094999999999999</c:v>
                </c:pt>
                <c:pt idx="22">
                  <c:v>64.156000000000006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6B-4B22-973D-06B70E8A6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dateAx>
        <c:axId val="667172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months"/>
      </c:dateAx>
      <c:valAx>
        <c:axId val="667170632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Price, cents per pound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644555694618E-2"/>
              <c:y val="5.06224929430991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912295325969763E-2"/>
          <c:y val="0.9035340351477803"/>
          <c:w val="0.86183308781791412"/>
          <c:h val="4.5667938608604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Weekly</a:t>
            </a:r>
            <a:r>
              <a:rPr lang="en-US" sz="1050" b="1" baseline="0"/>
              <a:t> U.S. and Argentine soybean oil export prices for 2020/21</a:t>
            </a:r>
            <a:endParaRPr lang="en-US" sz="1050" b="1"/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30226102837E-2"/>
          <c:y val="0.15432402317634825"/>
          <c:w val="0.79446092392393375"/>
          <c:h val="0.66209404248997161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Argentina soybean oil export price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'Figure 1'!$A$2:$A$49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'Figure 1'!$B$2:$B$49</c:f>
              <c:numCache>
                <c:formatCode>_(* #,##0_);_(* \(#,##0\);_(* "-"_);_(@_)</c:formatCode>
                <c:ptCount val="48"/>
                <c:pt idx="0">
                  <c:v>793.4</c:v>
                </c:pt>
                <c:pt idx="1">
                  <c:v>822</c:v>
                </c:pt>
                <c:pt idx="2">
                  <c:v>821.6</c:v>
                </c:pt>
                <c:pt idx="3">
                  <c:v>845</c:v>
                </c:pt>
                <c:pt idx="4">
                  <c:v>837</c:v>
                </c:pt>
                <c:pt idx="5">
                  <c:v>898.8</c:v>
                </c:pt>
                <c:pt idx="6">
                  <c:v>965.4</c:v>
                </c:pt>
                <c:pt idx="7">
                  <c:v>1000</c:v>
                </c:pt>
                <c:pt idx="8">
                  <c:v>976</c:v>
                </c:pt>
                <c:pt idx="9">
                  <c:v>975.6</c:v>
                </c:pt>
                <c:pt idx="10">
                  <c:v>983.6</c:v>
                </c:pt>
                <c:pt idx="11">
                  <c:v>1044.8</c:v>
                </c:pt>
                <c:pt idx="12">
                  <c:v>1087.5999999999999</c:v>
                </c:pt>
                <c:pt idx="13">
                  <c:v>1113.4000000000001</c:v>
                </c:pt>
                <c:pt idx="14">
                  <c:v>1092.5999999999999</c:v>
                </c:pt>
                <c:pt idx="15">
                  <c:v>1044.2</c:v>
                </c:pt>
                <c:pt idx="16">
                  <c:v>1004</c:v>
                </c:pt>
                <c:pt idx="17">
                  <c:v>1045.2</c:v>
                </c:pt>
                <c:pt idx="18">
                  <c:v>1051.8</c:v>
                </c:pt>
                <c:pt idx="19">
                  <c:v>1053.2</c:v>
                </c:pt>
                <c:pt idx="20">
                  <c:v>1103.4000000000001</c:v>
                </c:pt>
                <c:pt idx="21">
                  <c:v>1144.5999999999999</c:v>
                </c:pt>
                <c:pt idx="22">
                  <c:v>1196.8</c:v>
                </c:pt>
                <c:pt idx="23">
                  <c:v>1248.2</c:v>
                </c:pt>
                <c:pt idx="24">
                  <c:v>1238.4000000000001</c:v>
                </c:pt>
                <c:pt idx="25">
                  <c:v>1202.8</c:v>
                </c:pt>
                <c:pt idx="26">
                  <c:v>1223</c:v>
                </c:pt>
                <c:pt idx="27">
                  <c:v>1197.5999999999999</c:v>
                </c:pt>
                <c:pt idx="28">
                  <c:v>1254.2</c:v>
                </c:pt>
                <c:pt idx="29">
                  <c:v>1286</c:v>
                </c:pt>
                <c:pt idx="30">
                  <c:v>1238</c:v>
                </c:pt>
                <c:pt idx="31">
                  <c:v>1349.2</c:v>
                </c:pt>
                <c:pt idx="32">
                  <c:v>1392.8</c:v>
                </c:pt>
                <c:pt idx="33">
                  <c:v>1366.4</c:v>
                </c:pt>
                <c:pt idx="34">
                  <c:v>1356</c:v>
                </c:pt>
                <c:pt idx="35">
                  <c:v>1325.6</c:v>
                </c:pt>
                <c:pt idx="36">
                  <c:v>1172</c:v>
                </c:pt>
                <c:pt idx="37">
                  <c:v>1094.4000000000001</c:v>
                </c:pt>
                <c:pt idx="38">
                  <c:v>1105.8</c:v>
                </c:pt>
                <c:pt idx="39">
                  <c:v>1152.8</c:v>
                </c:pt>
                <c:pt idx="40">
                  <c:v>1220.8</c:v>
                </c:pt>
                <c:pt idx="41">
                  <c:v>1282.5999999999999</c:v>
                </c:pt>
                <c:pt idx="42">
                  <c:v>1289.8</c:v>
                </c:pt>
                <c:pt idx="43">
                  <c:v>1296.2</c:v>
                </c:pt>
                <c:pt idx="44">
                  <c:v>1252.2</c:v>
                </c:pt>
                <c:pt idx="45">
                  <c:v>1313.4</c:v>
                </c:pt>
                <c:pt idx="46">
                  <c:v>1327.2</c:v>
                </c:pt>
                <c:pt idx="47">
                  <c:v>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2-41EC-B3E2-EC7C7B6775C5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Argentina soybean oil export price + U.S. import tariff cost</c:v>
                </c:pt>
              </c:strCache>
            </c:strRef>
          </c:tx>
          <c:spPr>
            <a:ln w="28575" cap="rnd">
              <a:solidFill>
                <a:srgbClr val="0000FF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1'!$A$2:$A$49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'Figure 1'!$C$2:$C$49</c:f>
              <c:numCache>
                <c:formatCode>_(* #,##0_);_(* \(#,##0\);_(* "-"_);_(@_)</c:formatCode>
                <c:ptCount val="48"/>
                <c:pt idx="0">
                  <c:v>944.93939999999998</c:v>
                </c:pt>
                <c:pt idx="1">
                  <c:v>979.00200000000007</c:v>
                </c:pt>
                <c:pt idx="2">
                  <c:v>978.52560000000005</c:v>
                </c:pt>
                <c:pt idx="3">
                  <c:v>1006.3950000000001</c:v>
                </c:pt>
                <c:pt idx="4">
                  <c:v>996.86700000000008</c:v>
                </c:pt>
                <c:pt idx="5">
                  <c:v>1070.4708000000001</c:v>
                </c:pt>
                <c:pt idx="6">
                  <c:v>1149.7914000000001</c:v>
                </c:pt>
                <c:pt idx="7">
                  <c:v>1191</c:v>
                </c:pt>
                <c:pt idx="8">
                  <c:v>1162.4160000000002</c:v>
                </c:pt>
                <c:pt idx="9">
                  <c:v>1161.9396000000002</c:v>
                </c:pt>
                <c:pt idx="10">
                  <c:v>1171.4676000000002</c:v>
                </c:pt>
                <c:pt idx="11">
                  <c:v>1244.3568</c:v>
                </c:pt>
                <c:pt idx="12">
                  <c:v>1295.3316</c:v>
                </c:pt>
                <c:pt idx="13">
                  <c:v>1326.0594000000001</c:v>
                </c:pt>
                <c:pt idx="14">
                  <c:v>1301.2865999999999</c:v>
                </c:pt>
                <c:pt idx="15">
                  <c:v>1243.6422</c:v>
                </c:pt>
                <c:pt idx="16">
                  <c:v>1195.7640000000001</c:v>
                </c:pt>
                <c:pt idx="17">
                  <c:v>1244.8332</c:v>
                </c:pt>
                <c:pt idx="18">
                  <c:v>1252.6938</c:v>
                </c:pt>
                <c:pt idx="19">
                  <c:v>1254.3612000000001</c:v>
                </c:pt>
                <c:pt idx="20">
                  <c:v>1314.1494000000002</c:v>
                </c:pt>
                <c:pt idx="21">
                  <c:v>1363.2185999999999</c:v>
                </c:pt>
                <c:pt idx="22">
                  <c:v>1425.3887999999999</c:v>
                </c:pt>
                <c:pt idx="23">
                  <c:v>1486.6062000000002</c:v>
                </c:pt>
                <c:pt idx="24">
                  <c:v>1474.9344000000001</c:v>
                </c:pt>
                <c:pt idx="25">
                  <c:v>1432.5347999999999</c:v>
                </c:pt>
                <c:pt idx="26">
                  <c:v>1456.5930000000001</c:v>
                </c:pt>
                <c:pt idx="27">
                  <c:v>1426.3416</c:v>
                </c:pt>
                <c:pt idx="28">
                  <c:v>1493.7522000000001</c:v>
                </c:pt>
                <c:pt idx="29">
                  <c:v>1531.626</c:v>
                </c:pt>
                <c:pt idx="30">
                  <c:v>1474.4580000000001</c:v>
                </c:pt>
                <c:pt idx="31">
                  <c:v>1606.8972000000001</c:v>
                </c:pt>
                <c:pt idx="32">
                  <c:v>1658.8248000000001</c:v>
                </c:pt>
                <c:pt idx="33">
                  <c:v>1627.3824000000002</c:v>
                </c:pt>
                <c:pt idx="34">
                  <c:v>1614.9960000000001</c:v>
                </c:pt>
                <c:pt idx="35">
                  <c:v>1578.7896000000001</c:v>
                </c:pt>
                <c:pt idx="36">
                  <c:v>1395.8520000000001</c:v>
                </c:pt>
                <c:pt idx="37">
                  <c:v>1303.4304000000002</c:v>
                </c:pt>
                <c:pt idx="38">
                  <c:v>1317.0078000000001</c:v>
                </c:pt>
                <c:pt idx="39">
                  <c:v>1372.9848</c:v>
                </c:pt>
                <c:pt idx="40">
                  <c:v>1453.9728</c:v>
                </c:pt>
                <c:pt idx="41">
                  <c:v>1527.5765999999999</c:v>
                </c:pt>
                <c:pt idx="42">
                  <c:v>1536.1518000000001</c:v>
                </c:pt>
                <c:pt idx="43">
                  <c:v>1543.7742000000001</c:v>
                </c:pt>
                <c:pt idx="44">
                  <c:v>1491.3702000000001</c:v>
                </c:pt>
                <c:pt idx="45">
                  <c:v>1564.2594000000001</c:v>
                </c:pt>
                <c:pt idx="46">
                  <c:v>1580.6952000000001</c:v>
                </c:pt>
                <c:pt idx="47">
                  <c:v>1578.075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62-41EC-B3E2-EC7C7B6775C5}"/>
            </c:ext>
          </c:extLst>
        </c:ser>
        <c:ser>
          <c:idx val="2"/>
          <c:order val="2"/>
          <c:tx>
            <c:strRef>
              <c:f>'Figure 1'!$D$1</c:f>
              <c:strCache>
                <c:ptCount val="1"/>
                <c:pt idx="0">
                  <c:v>U.S. soybean oil export price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1'!$A$2:$A$49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'Figure 1'!$D$2:$D$49</c:f>
              <c:numCache>
                <c:formatCode>_(* #,##0_);_(* \(#,##0\);_(* "-"_);_(@_)</c:formatCode>
                <c:ptCount val="48"/>
                <c:pt idx="0">
                  <c:v>800.78800000000001</c:v>
                </c:pt>
                <c:pt idx="1">
                  <c:v>821.35200000000009</c:v>
                </c:pt>
                <c:pt idx="2">
                  <c:v>812.30600000000004</c:v>
                </c:pt>
                <c:pt idx="3">
                  <c:v>838.90400000000011</c:v>
                </c:pt>
                <c:pt idx="4">
                  <c:v>836.62999999999988</c:v>
                </c:pt>
                <c:pt idx="5">
                  <c:v>885.79</c:v>
                </c:pt>
                <c:pt idx="6">
                  <c:v>927.10799999999995</c:v>
                </c:pt>
                <c:pt idx="7">
                  <c:v>956.31799999999998</c:v>
                </c:pt>
                <c:pt idx="8">
                  <c:v>938.83000000000015</c:v>
                </c:pt>
                <c:pt idx="9">
                  <c:v>942.06600000000003</c:v>
                </c:pt>
                <c:pt idx="10">
                  <c:v>950</c:v>
                </c:pt>
                <c:pt idx="11">
                  <c:v>979.47399999999993</c:v>
                </c:pt>
                <c:pt idx="12">
                  <c:v>1006.05</c:v>
                </c:pt>
                <c:pt idx="13">
                  <c:v>1047.202</c:v>
                </c:pt>
                <c:pt idx="14">
                  <c:v>1050.3220000000001</c:v>
                </c:pt>
                <c:pt idx="15">
                  <c:v>1034.7540000000001</c:v>
                </c:pt>
                <c:pt idx="16">
                  <c:v>1055.2</c:v>
                </c:pt>
                <c:pt idx="17">
                  <c:v>1071.8579999999999</c:v>
                </c:pt>
                <c:pt idx="18">
                  <c:v>1088.482</c:v>
                </c:pt>
                <c:pt idx="19">
                  <c:v>1104.846</c:v>
                </c:pt>
                <c:pt idx="20">
                  <c:v>1153.0920000000001</c:v>
                </c:pt>
                <c:pt idx="21">
                  <c:v>1198.3219999999999</c:v>
                </c:pt>
                <c:pt idx="22">
                  <c:v>1253.902</c:v>
                </c:pt>
                <c:pt idx="23">
                  <c:v>1321.5840000000001</c:v>
                </c:pt>
                <c:pt idx="24">
                  <c:v>1356.748</c:v>
                </c:pt>
                <c:pt idx="25">
                  <c:v>1311.3560000000002</c:v>
                </c:pt>
                <c:pt idx="26">
                  <c:v>1314.7080000000001</c:v>
                </c:pt>
                <c:pt idx="27">
                  <c:v>1331.2059999999999</c:v>
                </c:pt>
                <c:pt idx="28">
                  <c:v>1438.4275</c:v>
                </c:pt>
                <c:pt idx="29">
                  <c:v>1617.34</c:v>
                </c:pt>
                <c:pt idx="30">
                  <c:v>1618.1479999999999</c:v>
                </c:pt>
                <c:pt idx="31">
                  <c:v>1626.384</c:v>
                </c:pt>
                <c:pt idx="32">
                  <c:v>1689.1299999999999</c:v>
                </c:pt>
                <c:pt idx="33">
                  <c:v>1658.884</c:v>
                </c:pt>
                <c:pt idx="34">
                  <c:v>1682.952</c:v>
                </c:pt>
                <c:pt idx="35">
                  <c:v>1757.9599999999998</c:v>
                </c:pt>
                <c:pt idx="36">
                  <c:v>1662.002</c:v>
                </c:pt>
                <c:pt idx="37">
                  <c:v>1467.7360000000001</c:v>
                </c:pt>
                <c:pt idx="38">
                  <c:v>1498.414</c:v>
                </c:pt>
                <c:pt idx="39">
                  <c:v>1498.174</c:v>
                </c:pt>
                <c:pt idx="40">
                  <c:v>1529.7999999999997</c:v>
                </c:pt>
                <c:pt idx="41">
                  <c:v>1596.5839999999998</c:v>
                </c:pt>
                <c:pt idx="42">
                  <c:v>1572.4940000000001</c:v>
                </c:pt>
                <c:pt idx="43">
                  <c:v>1557.4280000000001</c:v>
                </c:pt>
                <c:pt idx="44">
                  <c:v>1498.8019999999999</c:v>
                </c:pt>
                <c:pt idx="45">
                  <c:v>1504.3319999999999</c:v>
                </c:pt>
                <c:pt idx="46">
                  <c:v>1439.4919999999997</c:v>
                </c:pt>
                <c:pt idx="47">
                  <c:v>1422.4759999999999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62-41EC-B3E2-EC7C7B677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Weeks</a:t>
                </a:r>
                <a:r>
                  <a:rPr lang="en-US" sz="900" baseline="0"/>
                  <a:t> of 2020/21 marketing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tickLblSkip val="2"/>
        <c:noMultiLvlLbl val="0"/>
      </c:catAx>
      <c:valAx>
        <c:axId val="667170632"/>
        <c:scaling>
          <c:orientation val="minMax"/>
          <c:max val="18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metric ton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644555694618E-2"/>
              <c:y val="5.06224929430991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21190665120348E-2"/>
          <c:y val="0.89664149546318528"/>
          <c:w val="0.82866301111585861"/>
          <c:h val="7.18376219521023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1</xdr:row>
      <xdr:rowOff>9524</xdr:rowOff>
    </xdr:from>
    <xdr:to>
      <xdr:col>16</xdr:col>
      <xdr:colOff>84666</xdr:colOff>
      <xdr:row>24</xdr:row>
      <xdr:rowOff>63499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14E9D9-15F9-4687-BA6F-D07839BF2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0.9246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89090"/>
          <a:ext cx="5919046" cy="317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National Agricultural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Statistics Service,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Monthly Feedstuff Prices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and Sosland Publishing,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Milling and Baking News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 xmlns:a="http://schemas.openxmlformats.org/drawingml/2006/main">
          <a:b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0</xdr:rowOff>
    </xdr:from>
    <xdr:to>
      <xdr:col>14</xdr:col>
      <xdr:colOff>20955</xdr:colOff>
      <xdr:row>22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8ECD55-6236-4F08-AF35-63B070774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0.95942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4638675"/>
          <a:ext cx="5897880" cy="196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International Grains Council.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109375" defaultRowHeight="14.25" x14ac:dyDescent="0.2"/>
  <cols>
    <col min="1" max="1" width="166.85546875" style="19" bestFit="1" customWidth="1"/>
    <col min="2" max="16384" width="9.7109375" style="1"/>
  </cols>
  <sheetData>
    <row r="1" spans="1:3" ht="44.25" customHeight="1" x14ac:dyDescent="0.2">
      <c r="A1" s="13"/>
    </row>
    <row r="2" spans="1:3" ht="15" x14ac:dyDescent="0.25">
      <c r="A2" s="14" t="s">
        <v>92</v>
      </c>
    </row>
    <row r="3" spans="1:3" s="2" customFormat="1" x14ac:dyDescent="0.2">
      <c r="A3" s="15"/>
    </row>
    <row r="4" spans="1:3" ht="15" x14ac:dyDescent="0.25">
      <c r="A4" s="14" t="s">
        <v>93</v>
      </c>
    </row>
    <row r="5" spans="1:3" ht="15" x14ac:dyDescent="0.25">
      <c r="A5" s="16">
        <f ca="1">TODAY()</f>
        <v>44452</v>
      </c>
      <c r="B5" s="3"/>
    </row>
    <row r="6" spans="1:3" s="2" customFormat="1" x14ac:dyDescent="0.2">
      <c r="A6" s="15"/>
      <c r="B6" s="3"/>
      <c r="C6" s="4"/>
    </row>
    <row r="7" spans="1:3" x14ac:dyDescent="0.2">
      <c r="A7" s="17" t="s">
        <v>145</v>
      </c>
      <c r="B7" s="5"/>
      <c r="C7" s="2"/>
    </row>
    <row r="8" spans="1:3" x14ac:dyDescent="0.2">
      <c r="A8" s="17" t="s">
        <v>136</v>
      </c>
      <c r="B8" s="6"/>
    </row>
    <row r="9" spans="1:3" x14ac:dyDescent="0.2">
      <c r="A9" s="17" t="s">
        <v>137</v>
      </c>
      <c r="B9" s="6"/>
    </row>
    <row r="10" spans="1:3" x14ac:dyDescent="0.2">
      <c r="A10" s="17" t="s">
        <v>138</v>
      </c>
      <c r="B10" s="6"/>
    </row>
    <row r="11" spans="1:3" x14ac:dyDescent="0.2">
      <c r="A11" s="17" t="s">
        <v>139</v>
      </c>
      <c r="B11" s="6"/>
    </row>
    <row r="12" spans="1:3" x14ac:dyDescent="0.2">
      <c r="A12" s="17" t="s">
        <v>140</v>
      </c>
      <c r="B12" s="6"/>
    </row>
    <row r="13" spans="1:3" x14ac:dyDescent="0.2">
      <c r="A13" s="17" t="s">
        <v>141</v>
      </c>
      <c r="B13" s="6"/>
    </row>
    <row r="14" spans="1:3" x14ac:dyDescent="0.2">
      <c r="A14" s="17" t="s">
        <v>142</v>
      </c>
      <c r="B14" s="6"/>
    </row>
    <row r="15" spans="1:3" x14ac:dyDescent="0.2">
      <c r="A15" s="17" t="s">
        <v>143</v>
      </c>
      <c r="B15" s="6"/>
    </row>
    <row r="16" spans="1:3" x14ac:dyDescent="0.2">
      <c r="A16" s="17" t="s">
        <v>144</v>
      </c>
      <c r="B16" s="6"/>
    </row>
    <row r="17" spans="1:2" x14ac:dyDescent="0.2">
      <c r="A17" s="18" t="s">
        <v>162</v>
      </c>
      <c r="B17" s="6"/>
    </row>
    <row r="18" spans="1:2" s="11" customFormat="1" ht="22.9" customHeight="1" x14ac:dyDescent="0.2">
      <c r="A18" s="7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EE89B-BBBD-459A-8FEA-58F14F1A810B}">
  <dimension ref="A1:D49"/>
  <sheetViews>
    <sheetView zoomScale="90" zoomScaleNormal="90" workbookViewId="0"/>
  </sheetViews>
  <sheetFormatPr defaultColWidth="8.85546875" defaultRowHeight="15" x14ac:dyDescent="0.25"/>
  <cols>
    <col min="1" max="1" width="11.5703125" style="20" customWidth="1"/>
    <col min="2" max="2" width="18.7109375" style="20" customWidth="1"/>
    <col min="3" max="4" width="14.85546875" style="20" customWidth="1"/>
    <col min="5" max="16384" width="8.85546875" style="20"/>
  </cols>
  <sheetData>
    <row r="1" spans="1:4" ht="64.5" x14ac:dyDescent="0.25">
      <c r="A1" s="153" t="s">
        <v>166</v>
      </c>
      <c r="B1" s="153" t="s">
        <v>174</v>
      </c>
      <c r="C1" s="153" t="s">
        <v>175</v>
      </c>
      <c r="D1" s="153" t="s">
        <v>176</v>
      </c>
    </row>
    <row r="2" spans="1:4" x14ac:dyDescent="0.25">
      <c r="A2" s="154">
        <v>1</v>
      </c>
      <c r="B2" s="173">
        <v>793.4</v>
      </c>
      <c r="C2" s="174">
        <v>944.93939999999998</v>
      </c>
      <c r="D2" s="175">
        <v>800.78800000000001</v>
      </c>
    </row>
    <row r="3" spans="1:4" x14ac:dyDescent="0.25">
      <c r="A3" s="154">
        <v>2</v>
      </c>
      <c r="B3" s="173">
        <v>822</v>
      </c>
      <c r="C3" s="174">
        <v>979.00200000000007</v>
      </c>
      <c r="D3" s="175">
        <v>821.35200000000009</v>
      </c>
    </row>
    <row r="4" spans="1:4" x14ac:dyDescent="0.25">
      <c r="A4" s="154">
        <v>3</v>
      </c>
      <c r="B4" s="173">
        <v>821.6</v>
      </c>
      <c r="C4" s="174">
        <v>978.52560000000005</v>
      </c>
      <c r="D4" s="175">
        <v>812.30600000000004</v>
      </c>
    </row>
    <row r="5" spans="1:4" x14ac:dyDescent="0.25">
      <c r="A5" s="154">
        <v>4</v>
      </c>
      <c r="B5" s="173">
        <v>845</v>
      </c>
      <c r="C5" s="174">
        <v>1006.3950000000001</v>
      </c>
      <c r="D5" s="175">
        <v>838.90400000000011</v>
      </c>
    </row>
    <row r="6" spans="1:4" x14ac:dyDescent="0.25">
      <c r="A6" s="154">
        <v>5</v>
      </c>
      <c r="B6" s="173">
        <v>837</v>
      </c>
      <c r="C6" s="174">
        <v>996.86700000000008</v>
      </c>
      <c r="D6" s="175">
        <v>836.62999999999988</v>
      </c>
    </row>
    <row r="7" spans="1:4" x14ac:dyDescent="0.25">
      <c r="A7" s="154">
        <v>6</v>
      </c>
      <c r="B7" s="173">
        <v>898.8</v>
      </c>
      <c r="C7" s="174">
        <v>1070.4708000000001</v>
      </c>
      <c r="D7" s="175">
        <v>885.79</v>
      </c>
    </row>
    <row r="8" spans="1:4" x14ac:dyDescent="0.25">
      <c r="A8" s="154">
        <v>7</v>
      </c>
      <c r="B8" s="173">
        <v>965.4</v>
      </c>
      <c r="C8" s="174">
        <v>1149.7914000000001</v>
      </c>
      <c r="D8" s="175">
        <v>927.10799999999995</v>
      </c>
    </row>
    <row r="9" spans="1:4" x14ac:dyDescent="0.25">
      <c r="A9" s="154">
        <v>8</v>
      </c>
      <c r="B9" s="173">
        <v>1000</v>
      </c>
      <c r="C9" s="174">
        <v>1191</v>
      </c>
      <c r="D9" s="175">
        <v>956.31799999999998</v>
      </c>
    </row>
    <row r="10" spans="1:4" x14ac:dyDescent="0.25">
      <c r="A10" s="154">
        <v>9</v>
      </c>
      <c r="B10" s="173">
        <v>976</v>
      </c>
      <c r="C10" s="174">
        <v>1162.4160000000002</v>
      </c>
      <c r="D10" s="175">
        <v>938.83000000000015</v>
      </c>
    </row>
    <row r="11" spans="1:4" x14ac:dyDescent="0.25">
      <c r="A11" s="154">
        <v>10</v>
      </c>
      <c r="B11" s="173">
        <v>975.6</v>
      </c>
      <c r="C11" s="174">
        <v>1161.9396000000002</v>
      </c>
      <c r="D11" s="175">
        <v>942.06600000000003</v>
      </c>
    </row>
    <row r="12" spans="1:4" x14ac:dyDescent="0.25">
      <c r="A12" s="154">
        <v>11</v>
      </c>
      <c r="B12" s="173">
        <v>983.6</v>
      </c>
      <c r="C12" s="176">
        <v>1171.4676000000002</v>
      </c>
      <c r="D12" s="175">
        <v>950</v>
      </c>
    </row>
    <row r="13" spans="1:4" x14ac:dyDescent="0.25">
      <c r="A13" s="154">
        <v>12</v>
      </c>
      <c r="B13" s="173">
        <v>1044.8</v>
      </c>
      <c r="C13" s="176">
        <v>1244.3568</v>
      </c>
      <c r="D13" s="175">
        <v>979.47399999999993</v>
      </c>
    </row>
    <row r="14" spans="1:4" x14ac:dyDescent="0.25">
      <c r="A14" s="154">
        <v>13</v>
      </c>
      <c r="B14" s="173">
        <v>1087.5999999999999</v>
      </c>
      <c r="C14" s="176">
        <v>1295.3316</v>
      </c>
      <c r="D14" s="175">
        <v>1006.05</v>
      </c>
    </row>
    <row r="15" spans="1:4" x14ac:dyDescent="0.25">
      <c r="A15" s="154">
        <v>14</v>
      </c>
      <c r="B15" s="173">
        <v>1113.4000000000001</v>
      </c>
      <c r="C15" s="176">
        <v>1326.0594000000001</v>
      </c>
      <c r="D15" s="175">
        <v>1047.202</v>
      </c>
    </row>
    <row r="16" spans="1:4" x14ac:dyDescent="0.25">
      <c r="A16" s="154">
        <v>15</v>
      </c>
      <c r="B16" s="173">
        <v>1092.5999999999999</v>
      </c>
      <c r="C16" s="176">
        <v>1301.2865999999999</v>
      </c>
      <c r="D16" s="175">
        <v>1050.3220000000001</v>
      </c>
    </row>
    <row r="17" spans="1:4" x14ac:dyDescent="0.25">
      <c r="A17" s="154">
        <v>16</v>
      </c>
      <c r="B17" s="173">
        <v>1044.2</v>
      </c>
      <c r="C17" s="176">
        <v>1243.6422</v>
      </c>
      <c r="D17" s="175">
        <v>1034.7540000000001</v>
      </c>
    </row>
    <row r="18" spans="1:4" x14ac:dyDescent="0.25">
      <c r="A18" s="154">
        <v>17</v>
      </c>
      <c r="B18" s="173">
        <v>1004</v>
      </c>
      <c r="C18" s="176">
        <v>1195.7640000000001</v>
      </c>
      <c r="D18" s="175">
        <v>1055.2</v>
      </c>
    </row>
    <row r="19" spans="1:4" x14ac:dyDescent="0.25">
      <c r="A19" s="154">
        <v>18</v>
      </c>
      <c r="B19" s="173">
        <v>1045.2</v>
      </c>
      <c r="C19" s="176">
        <v>1244.8332</v>
      </c>
      <c r="D19" s="175">
        <v>1071.8579999999999</v>
      </c>
    </row>
    <row r="20" spans="1:4" x14ac:dyDescent="0.25">
      <c r="A20" s="154">
        <v>19</v>
      </c>
      <c r="B20" s="173">
        <v>1051.8</v>
      </c>
      <c r="C20" s="176">
        <v>1252.6938</v>
      </c>
      <c r="D20" s="175">
        <v>1088.482</v>
      </c>
    </row>
    <row r="21" spans="1:4" x14ac:dyDescent="0.25">
      <c r="A21" s="154">
        <v>20</v>
      </c>
      <c r="B21" s="173">
        <v>1053.2</v>
      </c>
      <c r="C21" s="176">
        <v>1254.3612000000001</v>
      </c>
      <c r="D21" s="175">
        <v>1104.846</v>
      </c>
    </row>
    <row r="22" spans="1:4" x14ac:dyDescent="0.25">
      <c r="A22" s="154">
        <v>21</v>
      </c>
      <c r="B22" s="173">
        <v>1103.4000000000001</v>
      </c>
      <c r="C22" s="173">
        <v>1314.1494000000002</v>
      </c>
      <c r="D22" s="173">
        <v>1153.0920000000001</v>
      </c>
    </row>
    <row r="23" spans="1:4" x14ac:dyDescent="0.25">
      <c r="A23" s="154">
        <v>22</v>
      </c>
      <c r="B23" s="173">
        <v>1144.5999999999999</v>
      </c>
      <c r="C23" s="173">
        <v>1363.2185999999999</v>
      </c>
      <c r="D23" s="173">
        <v>1198.3219999999999</v>
      </c>
    </row>
    <row r="24" spans="1:4" x14ac:dyDescent="0.25">
      <c r="A24" s="154">
        <v>23</v>
      </c>
      <c r="B24" s="173">
        <v>1196.8</v>
      </c>
      <c r="C24" s="173">
        <v>1425.3887999999999</v>
      </c>
      <c r="D24" s="173">
        <v>1253.902</v>
      </c>
    </row>
    <row r="25" spans="1:4" x14ac:dyDescent="0.25">
      <c r="A25" s="154">
        <v>24</v>
      </c>
      <c r="B25" s="173">
        <v>1248.2</v>
      </c>
      <c r="C25" s="173">
        <v>1486.6062000000002</v>
      </c>
      <c r="D25" s="173">
        <v>1321.5840000000001</v>
      </c>
    </row>
    <row r="26" spans="1:4" x14ac:dyDescent="0.25">
      <c r="A26" s="154">
        <v>25</v>
      </c>
      <c r="B26" s="173">
        <v>1238.4000000000001</v>
      </c>
      <c r="C26" s="173">
        <v>1474.9344000000001</v>
      </c>
      <c r="D26" s="173">
        <v>1356.748</v>
      </c>
    </row>
    <row r="27" spans="1:4" x14ac:dyDescent="0.25">
      <c r="A27" s="154">
        <v>26</v>
      </c>
      <c r="B27" s="173">
        <v>1202.8</v>
      </c>
      <c r="C27" s="173">
        <v>1432.5347999999999</v>
      </c>
      <c r="D27" s="173">
        <v>1311.3560000000002</v>
      </c>
    </row>
    <row r="28" spans="1:4" x14ac:dyDescent="0.25">
      <c r="A28" s="154">
        <v>27</v>
      </c>
      <c r="B28" s="173">
        <v>1223</v>
      </c>
      <c r="C28" s="173">
        <v>1456.5930000000001</v>
      </c>
      <c r="D28" s="173">
        <v>1314.7080000000001</v>
      </c>
    </row>
    <row r="29" spans="1:4" x14ac:dyDescent="0.25">
      <c r="A29" s="154">
        <v>28</v>
      </c>
      <c r="B29" s="173">
        <v>1197.5999999999999</v>
      </c>
      <c r="C29" s="173">
        <v>1426.3416</v>
      </c>
      <c r="D29" s="173">
        <v>1331.2059999999999</v>
      </c>
    </row>
    <row r="30" spans="1:4" x14ac:dyDescent="0.25">
      <c r="A30" s="154">
        <v>29</v>
      </c>
      <c r="B30" s="173">
        <v>1254.2</v>
      </c>
      <c r="C30" s="173">
        <v>1493.7522000000001</v>
      </c>
      <c r="D30" s="173">
        <v>1438.4275</v>
      </c>
    </row>
    <row r="31" spans="1:4" x14ac:dyDescent="0.25">
      <c r="A31" s="154">
        <v>30</v>
      </c>
      <c r="B31" s="173">
        <v>1286</v>
      </c>
      <c r="C31" s="173">
        <v>1531.626</v>
      </c>
      <c r="D31" s="173">
        <v>1617.34</v>
      </c>
    </row>
    <row r="32" spans="1:4" x14ac:dyDescent="0.25">
      <c r="A32" s="154">
        <v>31</v>
      </c>
      <c r="B32" s="173">
        <v>1238</v>
      </c>
      <c r="C32" s="173">
        <v>1474.4580000000001</v>
      </c>
      <c r="D32" s="173">
        <v>1618.1479999999999</v>
      </c>
    </row>
    <row r="33" spans="1:4" x14ac:dyDescent="0.25">
      <c r="A33" s="154">
        <v>32</v>
      </c>
      <c r="B33" s="173">
        <v>1349.2</v>
      </c>
      <c r="C33" s="173">
        <v>1606.8972000000001</v>
      </c>
      <c r="D33" s="173">
        <v>1626.384</v>
      </c>
    </row>
    <row r="34" spans="1:4" x14ac:dyDescent="0.25">
      <c r="A34" s="154">
        <v>33</v>
      </c>
      <c r="B34" s="173">
        <v>1392.8</v>
      </c>
      <c r="C34" s="173">
        <v>1658.8248000000001</v>
      </c>
      <c r="D34" s="173">
        <v>1689.1299999999999</v>
      </c>
    </row>
    <row r="35" spans="1:4" x14ac:dyDescent="0.25">
      <c r="A35" s="154">
        <v>34</v>
      </c>
      <c r="B35" s="173">
        <v>1366.4</v>
      </c>
      <c r="C35" s="173">
        <v>1627.3824000000002</v>
      </c>
      <c r="D35" s="173">
        <v>1658.884</v>
      </c>
    </row>
    <row r="36" spans="1:4" x14ac:dyDescent="0.25">
      <c r="A36" s="154">
        <v>35</v>
      </c>
      <c r="B36" s="173">
        <v>1356</v>
      </c>
      <c r="C36" s="173">
        <v>1614.9960000000001</v>
      </c>
      <c r="D36" s="173">
        <v>1682.952</v>
      </c>
    </row>
    <row r="37" spans="1:4" x14ac:dyDescent="0.25">
      <c r="A37" s="154">
        <v>36</v>
      </c>
      <c r="B37" s="173">
        <v>1325.6</v>
      </c>
      <c r="C37" s="173">
        <v>1578.7896000000001</v>
      </c>
      <c r="D37" s="173">
        <v>1757.9599999999998</v>
      </c>
    </row>
    <row r="38" spans="1:4" x14ac:dyDescent="0.25">
      <c r="A38" s="154">
        <v>37</v>
      </c>
      <c r="B38" s="173">
        <v>1172</v>
      </c>
      <c r="C38" s="173">
        <v>1395.8520000000001</v>
      </c>
      <c r="D38" s="173">
        <v>1662.002</v>
      </c>
    </row>
    <row r="39" spans="1:4" x14ac:dyDescent="0.25">
      <c r="A39" s="154">
        <v>38</v>
      </c>
      <c r="B39" s="173">
        <v>1094.4000000000001</v>
      </c>
      <c r="C39" s="173">
        <v>1303.4304000000002</v>
      </c>
      <c r="D39" s="173">
        <v>1467.7360000000001</v>
      </c>
    </row>
    <row r="40" spans="1:4" x14ac:dyDescent="0.25">
      <c r="A40" s="154">
        <v>39</v>
      </c>
      <c r="B40" s="173">
        <v>1105.8</v>
      </c>
      <c r="C40" s="173">
        <v>1317.0078000000001</v>
      </c>
      <c r="D40" s="173">
        <v>1498.414</v>
      </c>
    </row>
    <row r="41" spans="1:4" x14ac:dyDescent="0.25">
      <c r="A41" s="154">
        <v>40</v>
      </c>
      <c r="B41" s="173">
        <v>1152.8</v>
      </c>
      <c r="C41" s="173">
        <v>1372.9848</v>
      </c>
      <c r="D41" s="173">
        <v>1498.174</v>
      </c>
    </row>
    <row r="42" spans="1:4" x14ac:dyDescent="0.25">
      <c r="A42" s="154">
        <v>41</v>
      </c>
      <c r="B42" s="173">
        <v>1220.8</v>
      </c>
      <c r="C42" s="173">
        <v>1453.9728</v>
      </c>
      <c r="D42" s="173">
        <v>1529.7999999999997</v>
      </c>
    </row>
    <row r="43" spans="1:4" x14ac:dyDescent="0.25">
      <c r="A43" s="154">
        <v>42</v>
      </c>
      <c r="B43" s="173">
        <v>1282.5999999999999</v>
      </c>
      <c r="C43" s="173">
        <v>1527.5765999999999</v>
      </c>
      <c r="D43" s="173">
        <v>1596.5839999999998</v>
      </c>
    </row>
    <row r="44" spans="1:4" x14ac:dyDescent="0.25">
      <c r="A44" s="154">
        <v>43</v>
      </c>
      <c r="B44" s="173">
        <v>1289.8</v>
      </c>
      <c r="C44" s="173">
        <v>1536.1518000000001</v>
      </c>
      <c r="D44" s="173">
        <v>1572.4940000000001</v>
      </c>
    </row>
    <row r="45" spans="1:4" x14ac:dyDescent="0.25">
      <c r="A45" s="154">
        <v>44</v>
      </c>
      <c r="B45" s="173">
        <v>1296.2</v>
      </c>
      <c r="C45" s="173">
        <v>1543.7742000000001</v>
      </c>
      <c r="D45" s="173">
        <v>1557.4280000000001</v>
      </c>
    </row>
    <row r="46" spans="1:4" x14ac:dyDescent="0.25">
      <c r="A46" s="154">
        <v>45</v>
      </c>
      <c r="B46" s="173">
        <v>1252.2</v>
      </c>
      <c r="C46" s="173">
        <v>1491.3702000000001</v>
      </c>
      <c r="D46" s="173">
        <v>1498.8019999999999</v>
      </c>
    </row>
    <row r="47" spans="1:4" x14ac:dyDescent="0.25">
      <c r="A47" s="154">
        <v>46</v>
      </c>
      <c r="B47" s="173">
        <v>1313.4</v>
      </c>
      <c r="C47" s="173">
        <v>1564.2594000000001</v>
      </c>
      <c r="D47" s="173">
        <v>1504.3319999999999</v>
      </c>
    </row>
    <row r="48" spans="1:4" x14ac:dyDescent="0.25">
      <c r="A48" s="154">
        <v>47</v>
      </c>
      <c r="B48" s="173">
        <v>1327.2</v>
      </c>
      <c r="C48" s="173">
        <v>1580.6952000000001</v>
      </c>
      <c r="D48" s="173">
        <v>1439.4919999999997</v>
      </c>
    </row>
    <row r="49" spans="1:4" x14ac:dyDescent="0.25">
      <c r="A49" s="154">
        <v>48</v>
      </c>
      <c r="B49" s="173">
        <v>1325</v>
      </c>
      <c r="C49" s="173">
        <v>1578.075</v>
      </c>
      <c r="D49" s="173">
        <v>1422.4759999999999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5"/>
  <sheetViews>
    <sheetView showGridLines="0" zoomScale="70" zoomScaleNormal="70" workbookViewId="0"/>
  </sheetViews>
  <sheetFormatPr defaultRowHeight="12.75" x14ac:dyDescent="0.2"/>
  <cols>
    <col min="1" max="1" width="21.7109375" style="27" customWidth="1"/>
    <col min="2" max="2" width="11.5703125" style="27" customWidth="1"/>
    <col min="3" max="3" width="9.5703125" style="27" customWidth="1"/>
    <col min="4" max="4" width="26.7109375" style="27" customWidth="1"/>
    <col min="5" max="5" width="9.7109375" style="27" customWidth="1"/>
    <col min="6" max="6" width="10.7109375" style="27" customWidth="1"/>
    <col min="7" max="7" width="7.7109375" style="27" customWidth="1"/>
    <col min="8" max="8" width="9.7109375" style="27" customWidth="1"/>
    <col min="9" max="9" width="1.7109375" style="27" customWidth="1"/>
    <col min="10" max="10" width="9.7109375" style="27" customWidth="1"/>
    <col min="11" max="12" width="10.7109375" style="27" customWidth="1"/>
    <col min="13" max="13" width="10.28515625" style="27" customWidth="1"/>
    <col min="14" max="14" width="9.7109375" style="27" customWidth="1"/>
    <col min="15" max="16" width="9.140625" style="27"/>
    <col min="17" max="17" width="15.42578125" style="27" bestFit="1" customWidth="1"/>
    <col min="18" max="18" width="10.140625" style="27" bestFit="1" customWidth="1"/>
    <col min="19" max="16384" width="9.140625" style="27"/>
  </cols>
  <sheetData>
    <row r="1" spans="1:23" ht="14.25" x14ac:dyDescent="0.2">
      <c r="A1" s="26" t="s">
        <v>145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23" ht="14.25" x14ac:dyDescent="0.2">
      <c r="A2" s="28"/>
      <c r="B2" s="29" t="s">
        <v>19</v>
      </c>
      <c r="C2" s="71"/>
      <c r="D2" s="30" t="s">
        <v>22</v>
      </c>
      <c r="E2" s="31"/>
      <c r="F2" s="71" t="s">
        <v>70</v>
      </c>
      <c r="G2" s="71"/>
      <c r="H2" s="71"/>
      <c r="I2" s="32"/>
      <c r="J2" s="31"/>
      <c r="K2" s="71"/>
      <c r="L2" s="33" t="s">
        <v>57</v>
      </c>
      <c r="M2" s="71"/>
      <c r="N2" s="28"/>
    </row>
    <row r="3" spans="1:23" ht="14.25" x14ac:dyDescent="0.2">
      <c r="A3" s="28" t="s">
        <v>64</v>
      </c>
      <c r="B3" s="30" t="s">
        <v>20</v>
      </c>
      <c r="C3" s="28" t="s">
        <v>21</v>
      </c>
      <c r="D3" s="30"/>
      <c r="E3" s="34" t="s">
        <v>8</v>
      </c>
      <c r="F3" s="34"/>
      <c r="G3" s="34"/>
      <c r="H3" s="34"/>
      <c r="I3" s="34"/>
      <c r="J3" s="30" t="s">
        <v>59</v>
      </c>
      <c r="K3" s="34" t="s">
        <v>76</v>
      </c>
      <c r="L3" s="34"/>
      <c r="M3" s="34"/>
      <c r="N3" s="34" t="s">
        <v>6</v>
      </c>
    </row>
    <row r="4" spans="1:23" ht="14.25" x14ac:dyDescent="0.2">
      <c r="A4" s="35" t="s">
        <v>67</v>
      </c>
      <c r="B4" s="36"/>
      <c r="C4" s="36"/>
      <c r="D4" s="36"/>
      <c r="E4" s="37" t="s">
        <v>7</v>
      </c>
      <c r="F4" s="37" t="s">
        <v>1</v>
      </c>
      <c r="G4" s="38" t="s">
        <v>2</v>
      </c>
      <c r="H4" s="39" t="s">
        <v>3</v>
      </c>
      <c r="I4" s="38"/>
      <c r="J4" s="38"/>
      <c r="K4" s="38" t="s">
        <v>5</v>
      </c>
      <c r="L4" s="39" t="s">
        <v>4</v>
      </c>
      <c r="M4" s="37" t="s">
        <v>3</v>
      </c>
      <c r="N4" s="38" t="s">
        <v>7</v>
      </c>
      <c r="W4" s="40"/>
    </row>
    <row r="5" spans="1:23" ht="14.25" x14ac:dyDescent="0.2">
      <c r="A5" s="28"/>
      <c r="B5" s="41" t="s">
        <v>71</v>
      </c>
      <c r="C5" s="72"/>
      <c r="D5" s="42" t="s">
        <v>128</v>
      </c>
      <c r="G5" s="41"/>
      <c r="I5" s="41"/>
      <c r="J5" s="41" t="s">
        <v>116</v>
      </c>
      <c r="K5" s="41"/>
      <c r="L5" s="41"/>
      <c r="M5" s="41"/>
      <c r="N5" s="41"/>
      <c r="W5" s="40"/>
    </row>
    <row r="6" spans="1:23" ht="16.5" customHeight="1" x14ac:dyDescent="0.2">
      <c r="A6" s="28" t="s">
        <v>117</v>
      </c>
      <c r="B6" s="43">
        <v>76.099999999999994</v>
      </c>
      <c r="C6" s="43">
        <v>74.938999999999993</v>
      </c>
      <c r="D6" s="43">
        <v>47.397323156167019</v>
      </c>
      <c r="E6" s="44">
        <v>909</v>
      </c>
      <c r="F6" s="45">
        <f>F28</f>
        <v>3551.9079999999999</v>
      </c>
      <c r="G6" s="46">
        <f t="shared" ref="G6:M6" si="0">G28</f>
        <v>15.380623192800002</v>
      </c>
      <c r="H6" s="46">
        <f t="shared" si="0"/>
        <v>4476.3406231928002</v>
      </c>
      <c r="I6" s="45">
        <f t="shared" si="0"/>
        <v>0</v>
      </c>
      <c r="J6" s="45">
        <f t="shared" si="0"/>
        <v>2164.571916009776</v>
      </c>
      <c r="K6" s="45">
        <f t="shared" si="0"/>
        <v>107.97710436542383</v>
      </c>
      <c r="L6" s="46">
        <f t="shared" si="0"/>
        <v>1679.2506028176001</v>
      </c>
      <c r="M6" s="46">
        <f t="shared" si="0"/>
        <v>3951.7996231928005</v>
      </c>
      <c r="N6" s="46">
        <f>H6-M6</f>
        <v>524.54099999999971</v>
      </c>
    </row>
    <row r="7" spans="1:23" ht="16.5" customHeight="1" x14ac:dyDescent="0.2">
      <c r="A7" s="28" t="s">
        <v>120</v>
      </c>
      <c r="B7" s="43">
        <v>83.084000000000003</v>
      </c>
      <c r="C7" s="43">
        <v>82.317999999999998</v>
      </c>
      <c r="D7" s="43">
        <f>F7/C7</f>
        <v>50.237821618601032</v>
      </c>
      <c r="E7" s="44">
        <f>N6</f>
        <v>524.54099999999971</v>
      </c>
      <c r="F7" s="45">
        <v>4135.4769999999999</v>
      </c>
      <c r="G7" s="46">
        <v>20</v>
      </c>
      <c r="H7" s="46">
        <f>SUM(E7:G7)</f>
        <v>4680.018</v>
      </c>
      <c r="I7" s="28"/>
      <c r="J7" s="45">
        <v>2140</v>
      </c>
      <c r="K7" s="45">
        <v>105.03156725402637</v>
      </c>
      <c r="L7" s="46">
        <v>2260</v>
      </c>
      <c r="M7" s="46">
        <f>SUM(J7:L7)</f>
        <v>4505.0315672540264</v>
      </c>
      <c r="N7" s="46">
        <f t="shared" ref="N7:N8" si="1">H7-M7</f>
        <v>174.98643274597362</v>
      </c>
    </row>
    <row r="8" spans="1:23" ht="16.5" customHeight="1" x14ac:dyDescent="0.2">
      <c r="A8" s="28" t="s">
        <v>151</v>
      </c>
      <c r="B8" s="43">
        <v>87.234999999999999</v>
      </c>
      <c r="C8" s="43">
        <v>86.436000000000007</v>
      </c>
      <c r="D8" s="43">
        <f>F8/C8</f>
        <v>50.603070479892629</v>
      </c>
      <c r="E8" s="44">
        <f>N7</f>
        <v>174.98643274597362</v>
      </c>
      <c r="F8" s="45">
        <v>4373.9269999999997</v>
      </c>
      <c r="G8" s="46">
        <v>25</v>
      </c>
      <c r="H8" s="46">
        <f>SUM(E8:G8)</f>
        <v>4573.9134327459733</v>
      </c>
      <c r="I8" s="28"/>
      <c r="J8" s="45">
        <v>2180</v>
      </c>
      <c r="K8" s="45">
        <v>118.86381027784</v>
      </c>
      <c r="L8" s="46">
        <v>2090</v>
      </c>
      <c r="M8" s="46">
        <f>SUM(J8:L8)</f>
        <v>4388.8638102778405</v>
      </c>
      <c r="N8" s="46">
        <f t="shared" si="1"/>
        <v>185.04962246813284</v>
      </c>
    </row>
    <row r="9" spans="1:23" ht="16.5" customHeight="1" x14ac:dyDescent="0.2">
      <c r="A9" s="32"/>
      <c r="B9" s="32"/>
      <c r="C9" s="32"/>
      <c r="D9" s="32"/>
      <c r="E9" s="47"/>
      <c r="F9" s="47"/>
      <c r="G9" s="48"/>
      <c r="H9" s="47"/>
      <c r="I9" s="47"/>
      <c r="J9" s="48"/>
      <c r="K9" s="48"/>
      <c r="L9" s="48"/>
      <c r="M9" s="48"/>
      <c r="N9" s="48"/>
    </row>
    <row r="10" spans="1:23" ht="16.5" customHeight="1" x14ac:dyDescent="0.2">
      <c r="A10" s="32" t="s">
        <v>129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49"/>
    </row>
    <row r="11" spans="1:23" ht="16.5" customHeight="1" x14ac:dyDescent="0.25">
      <c r="A11" s="50" t="s">
        <v>117</v>
      </c>
      <c r="B11" s="51"/>
      <c r="C11" s="51"/>
      <c r="D11" s="51"/>
      <c r="E11" s="51"/>
      <c r="F11" s="51"/>
      <c r="G11" s="12"/>
      <c r="H11" s="21"/>
      <c r="I11" s="52"/>
      <c r="J11" s="21"/>
      <c r="K11" s="21"/>
      <c r="L11" s="12"/>
      <c r="M11" s="12"/>
      <c r="N11" s="51"/>
    </row>
    <row r="12" spans="1:23" ht="16.5" customHeight="1" x14ac:dyDescent="0.2">
      <c r="A12" s="32" t="s">
        <v>79</v>
      </c>
      <c r="B12" s="51"/>
      <c r="C12" s="51"/>
      <c r="D12" s="21"/>
      <c r="G12" s="12">
        <f>(31910.9*36.744)/1000000</f>
        <v>1.1725341096000002</v>
      </c>
      <c r="I12" s="51"/>
      <c r="J12" s="21">
        <f>((4870034*0.907185)*36.744)/1000000</f>
        <v>162.33579280939173</v>
      </c>
      <c r="K12" s="53"/>
      <c r="L12" s="12">
        <f>(3912144.9*36.744)/1000000</f>
        <v>143.7478522056</v>
      </c>
      <c r="M12" s="12"/>
      <c r="N12" s="21"/>
    </row>
    <row r="13" spans="1:23" ht="16.5" customHeight="1" x14ac:dyDescent="0.2">
      <c r="A13" s="32" t="s">
        <v>81</v>
      </c>
      <c r="B13" s="51"/>
      <c r="C13" s="51"/>
      <c r="D13" s="21"/>
      <c r="E13" s="54"/>
      <c r="F13" s="55"/>
      <c r="G13" s="12">
        <f>(53275.5*36.744)/1000000</f>
        <v>1.9575549720000001</v>
      </c>
      <c r="H13" s="21"/>
      <c r="I13" s="51"/>
      <c r="J13" s="21">
        <f>((5615616*0.907185)*36.744)/1000000</f>
        <v>187.18872916967425</v>
      </c>
      <c r="K13" s="53"/>
      <c r="L13" s="12">
        <f>(5894089.2*36.744)/1000000</f>
        <v>216.5724135648</v>
      </c>
      <c r="M13" s="12"/>
      <c r="N13" s="21"/>
    </row>
    <row r="14" spans="1:23" ht="16.5" customHeight="1" x14ac:dyDescent="0.2">
      <c r="A14" s="32" t="s">
        <v>83</v>
      </c>
      <c r="B14" s="51"/>
      <c r="C14" s="51"/>
      <c r="D14" s="21"/>
      <c r="E14" s="54"/>
      <c r="F14" s="55"/>
      <c r="G14" s="12">
        <f>(12452.6*36.744)/1000000</f>
        <v>0.45755833439999999</v>
      </c>
      <c r="H14" s="21"/>
      <c r="I14" s="51"/>
      <c r="J14" s="21">
        <f>((5239452*0.907185)*36.744)/1000000</f>
        <v>174.64982673770928</v>
      </c>
      <c r="K14" s="53"/>
      <c r="L14" s="12">
        <f>(6834264.3*36.744)/1000000</f>
        <v>251.11820743919998</v>
      </c>
      <c r="M14" s="12"/>
      <c r="N14" s="21"/>
    </row>
    <row r="15" spans="1:23" ht="16.5" customHeight="1" x14ac:dyDescent="0.2">
      <c r="A15" s="32" t="s">
        <v>61</v>
      </c>
      <c r="B15" s="51"/>
      <c r="C15" s="51"/>
      <c r="D15" s="51"/>
      <c r="E15" s="54">
        <v>909.05200000000002</v>
      </c>
      <c r="F15" s="55">
        <f>3551.908</f>
        <v>3551.9079999999999</v>
      </c>
      <c r="G15" s="12">
        <f>SUM(G12:G14)</f>
        <v>3.5876474160000003</v>
      </c>
      <c r="H15" s="21">
        <f>E15+F15+G15</f>
        <v>4464.5476474160005</v>
      </c>
      <c r="I15" s="51"/>
      <c r="J15" s="21">
        <f>SUM(J12:J14)</f>
        <v>524.17434871677528</v>
      </c>
      <c r="K15" s="53">
        <f>M15-L15-J15</f>
        <v>76.446825489625326</v>
      </c>
      <c r="L15" s="12">
        <f>SUM(L12:L14)</f>
        <v>611.43847320960003</v>
      </c>
      <c r="M15" s="12">
        <f>H15-N15</f>
        <v>1212.0596474160006</v>
      </c>
      <c r="N15" s="21">
        <v>3252.4879999999998</v>
      </c>
    </row>
    <row r="16" spans="1:23" ht="16.5" customHeight="1" x14ac:dyDescent="0.2">
      <c r="A16" s="28" t="s">
        <v>84</v>
      </c>
      <c r="B16" s="51"/>
      <c r="C16" s="51"/>
      <c r="D16" s="21"/>
      <c r="E16" s="54"/>
      <c r="F16" s="12"/>
      <c r="G16" s="12">
        <f>(37814.7*36.744)/1000000</f>
        <v>1.3894633368</v>
      </c>
      <c r="H16" s="21"/>
      <c r="I16" s="51"/>
      <c r="J16" s="21">
        <f>((5542274*0.907185)*36.744)/1000000</f>
        <v>184.74397586482533</v>
      </c>
      <c r="K16" s="53"/>
      <c r="L16" s="12">
        <f>(5669989.1*36.744)/1000000</f>
        <v>208.33807949039999</v>
      </c>
      <c r="M16" s="12"/>
      <c r="N16" s="21"/>
    </row>
    <row r="17" spans="1:14" ht="16.5" customHeight="1" x14ac:dyDescent="0.2">
      <c r="A17" s="28" t="s">
        <v>85</v>
      </c>
      <c r="B17" s="51"/>
      <c r="C17" s="51"/>
      <c r="D17" s="21"/>
      <c r="E17" s="54"/>
      <c r="F17" s="55"/>
      <c r="G17" s="12">
        <f>(31076.1*36.744)/1000000</f>
        <v>1.1418602184</v>
      </c>
      <c r="H17" s="21"/>
      <c r="I17" s="51"/>
      <c r="J17" s="21">
        <f>((5663403*0.907185)*36.744)/1000000</f>
        <v>188.78164218239291</v>
      </c>
      <c r="K17" s="53"/>
      <c r="L17" s="12">
        <f>(5182193.7*36.744)/1000000</f>
        <v>190.41452531280001</v>
      </c>
      <c r="M17" s="12"/>
      <c r="N17" s="21"/>
    </row>
    <row r="18" spans="1:14" ht="16.5" customHeight="1" x14ac:dyDescent="0.2">
      <c r="A18" s="28" t="s">
        <v>86</v>
      </c>
      <c r="B18" s="51"/>
      <c r="C18" s="51"/>
      <c r="D18" s="21"/>
      <c r="E18" s="54"/>
      <c r="F18" s="55"/>
      <c r="G18" s="12">
        <f>(41346.4*36.744)/1000000</f>
        <v>1.5192321216</v>
      </c>
      <c r="H18" s="21"/>
      <c r="I18" s="51"/>
      <c r="J18" s="21">
        <f>((5258777*0.907185)*36.744)/1000000</f>
        <v>175.29399866670227</v>
      </c>
      <c r="K18" s="53"/>
      <c r="L18" s="12">
        <f>(2930661.8*36.744)/1000000</f>
        <v>107.6842371792</v>
      </c>
      <c r="M18" s="51"/>
      <c r="N18" s="51"/>
    </row>
    <row r="19" spans="1:14" ht="16.5" customHeight="1" x14ac:dyDescent="0.2">
      <c r="A19" s="28" t="s">
        <v>62</v>
      </c>
      <c r="B19" s="51"/>
      <c r="C19" s="51"/>
      <c r="D19" s="51"/>
      <c r="E19" s="54">
        <f>N15</f>
        <v>3252.4879999999998</v>
      </c>
      <c r="F19" s="55"/>
      <c r="G19" s="12">
        <f>SUM(G16:G18)</f>
        <v>4.0505556768000002</v>
      </c>
      <c r="H19" s="21">
        <f>E19+F19+G19</f>
        <v>3256.5385556767997</v>
      </c>
      <c r="I19" s="51"/>
      <c r="J19" s="21">
        <f>SUM(J16:J18)</f>
        <v>548.81961671392048</v>
      </c>
      <c r="K19" s="53">
        <f>M19-L19-J19</f>
        <v>-53.599903019520923</v>
      </c>
      <c r="L19" s="12">
        <f>SUM(L16:L18)</f>
        <v>506.43684198240004</v>
      </c>
      <c r="M19" s="12">
        <f>H19-N19</f>
        <v>1001.6565556767996</v>
      </c>
      <c r="N19" s="21">
        <v>2254.8820000000001</v>
      </c>
    </row>
    <row r="20" spans="1:14" ht="16.5" customHeight="1" x14ac:dyDescent="0.2">
      <c r="A20" s="28" t="s">
        <v>87</v>
      </c>
      <c r="B20" s="51"/>
      <c r="C20" s="51"/>
      <c r="D20" s="21"/>
      <c r="E20" s="54"/>
      <c r="F20" s="55"/>
      <c r="G20" s="12">
        <f>(42451.2*36.744)/1000000</f>
        <v>1.5598268927999999</v>
      </c>
      <c r="H20" s="21"/>
      <c r="I20" s="51"/>
      <c r="J20" s="21">
        <f>((5764867*0.907185)*36.744)/1000000</f>
        <v>192.16380314504988</v>
      </c>
      <c r="K20" s="53"/>
      <c r="L20" s="12">
        <f>(2475267.9*36.744)/1000000</f>
        <v>90.951243717600008</v>
      </c>
      <c r="M20" s="12"/>
      <c r="N20" s="21"/>
    </row>
    <row r="21" spans="1:14" ht="16.5" customHeight="1" x14ac:dyDescent="0.2">
      <c r="A21" s="28" t="s">
        <v>88</v>
      </c>
      <c r="B21" s="51"/>
      <c r="C21" s="51"/>
      <c r="D21" s="21"/>
      <c r="E21" s="54"/>
      <c r="F21" s="55"/>
      <c r="G21" s="12">
        <f>(25462.9*36.744)/1000000</f>
        <v>0.93560879760000004</v>
      </c>
      <c r="H21" s="21"/>
      <c r="I21" s="51"/>
      <c r="J21" s="21">
        <f>((5501825*0.907185)*36.744)/1000000</f>
        <v>183.395664850293</v>
      </c>
      <c r="K21" s="53"/>
      <c r="L21" s="12">
        <f>(2222224.3*36.744)/1000000</f>
        <v>81.653409679199996</v>
      </c>
      <c r="M21" s="12"/>
      <c r="N21" s="21"/>
    </row>
    <row r="22" spans="1:14" ht="16.5" customHeight="1" x14ac:dyDescent="0.2">
      <c r="A22" s="28" t="s">
        <v>89</v>
      </c>
      <c r="B22" s="51"/>
      <c r="C22" s="51"/>
      <c r="D22" s="21"/>
      <c r="E22" s="54"/>
      <c r="F22" s="55"/>
      <c r="G22" s="12">
        <f>(30880.8*36.744)/1000000</f>
        <v>1.1346841151999998</v>
      </c>
      <c r="H22" s="21"/>
      <c r="I22" s="51"/>
      <c r="J22" s="21">
        <f>((5386534*0.907185)*36.744)/1000000</f>
        <v>179.55260012245176</v>
      </c>
      <c r="K22" s="53"/>
      <c r="L22" s="12">
        <f>(1919708.1*36.744)/1000000</f>
        <v>70.537754426399999</v>
      </c>
      <c r="M22" s="12"/>
      <c r="N22" s="21"/>
    </row>
    <row r="23" spans="1:14" ht="16.5" customHeight="1" x14ac:dyDescent="0.2">
      <c r="A23" s="28" t="s">
        <v>63</v>
      </c>
      <c r="B23" s="32"/>
      <c r="C23" s="32"/>
      <c r="D23" s="51"/>
      <c r="E23" s="54">
        <f>N19</f>
        <v>2254.8820000000001</v>
      </c>
      <c r="F23" s="56"/>
      <c r="G23" s="12">
        <f>SUM(G20:G22)</f>
        <v>3.6301198055999997</v>
      </c>
      <c r="H23" s="21">
        <f>E23+F23+G23</f>
        <v>2258.5121198055999</v>
      </c>
      <c r="I23" s="21"/>
      <c r="J23" s="21">
        <f>SUM(J20:J22)</f>
        <v>555.11206811779459</v>
      </c>
      <c r="K23" s="57">
        <f>M23-L23-J23</f>
        <v>78.863643864605251</v>
      </c>
      <c r="L23" s="12">
        <f>SUM(L20:L22)</f>
        <v>243.14240782320002</v>
      </c>
      <c r="M23" s="12">
        <f>H23-N23</f>
        <v>877.11811980559992</v>
      </c>
      <c r="N23" s="21">
        <v>1381.394</v>
      </c>
    </row>
    <row r="24" spans="1:14" ht="16.5" customHeight="1" x14ac:dyDescent="0.2">
      <c r="A24" s="28" t="s">
        <v>122</v>
      </c>
      <c r="B24" s="32"/>
      <c r="C24" s="32"/>
      <c r="D24" s="21"/>
      <c r="E24" s="54"/>
      <c r="F24" s="56"/>
      <c r="G24" s="12">
        <f>(44941.8*36.744)/1000000</f>
        <v>1.6513414992000002</v>
      </c>
      <c r="H24" s="21"/>
      <c r="I24" s="21"/>
      <c r="J24" s="21">
        <f>((5318419*0.907185)*36.744)/1000000</f>
        <v>177.28208157428318</v>
      </c>
      <c r="K24" s="57"/>
      <c r="L24" s="12">
        <f>(1779978.9*36.744)/1000000</f>
        <v>65.403544701599998</v>
      </c>
      <c r="M24" s="12"/>
      <c r="N24" s="21"/>
    </row>
    <row r="25" spans="1:14" ht="16.5" customHeight="1" x14ac:dyDescent="0.2">
      <c r="A25" s="28" t="s">
        <v>123</v>
      </c>
      <c r="B25" s="32"/>
      <c r="C25" s="32"/>
      <c r="D25" s="21"/>
      <c r="E25" s="54"/>
      <c r="F25" s="56"/>
      <c r="G25" s="12">
        <f>(47973.5*36.744)/1000000</f>
        <v>1.7627382839999999</v>
      </c>
      <c r="H25" s="21"/>
      <c r="I25" s="21"/>
      <c r="J25" s="21">
        <f>((5535196*0.907185)*36.744)/1000000</f>
        <v>184.50804060410545</v>
      </c>
      <c r="K25" s="57"/>
      <c r="L25" s="12">
        <f>(2245645.1*36.744)/1000000</f>
        <v>82.513983554399999</v>
      </c>
      <c r="M25" s="12"/>
      <c r="N25" s="21"/>
    </row>
    <row r="26" spans="1:14" ht="16.5" customHeight="1" x14ac:dyDescent="0.2">
      <c r="A26" s="28" t="s">
        <v>124</v>
      </c>
      <c r="B26" s="32"/>
      <c r="C26" s="32"/>
      <c r="D26" s="21"/>
      <c r="E26" s="54"/>
      <c r="F26" s="56"/>
      <c r="G26" s="12">
        <f>(19002.3*36.744)/1000000</f>
        <v>0.69822051119999995</v>
      </c>
      <c r="H26" s="21"/>
      <c r="I26" s="21"/>
      <c r="J26" s="21">
        <f>((5240230*0.907185)*36.744)/1000000</f>
        <v>174.67576028289722</v>
      </c>
      <c r="K26" s="57"/>
      <c r="L26" s="12">
        <f>(4635188.1*36.744)/1000000</f>
        <v>170.31535154639997</v>
      </c>
      <c r="M26" s="12"/>
      <c r="N26" s="21"/>
    </row>
    <row r="27" spans="1:14" ht="16.5" customHeight="1" x14ac:dyDescent="0.2">
      <c r="A27" s="28" t="s">
        <v>127</v>
      </c>
      <c r="B27" s="32"/>
      <c r="C27" s="32"/>
      <c r="D27" s="51"/>
      <c r="E27" s="54">
        <f>N23</f>
        <v>1381.394</v>
      </c>
      <c r="F27" s="56"/>
      <c r="G27" s="12">
        <f>SUM(G24:G26)</f>
        <v>4.1123002943999998</v>
      </c>
      <c r="H27" s="21">
        <f>E27+F27+G27</f>
        <v>1385.5063002944</v>
      </c>
      <c r="I27" s="21"/>
      <c r="J27" s="21">
        <f>SUM(J24:J26)</f>
        <v>536.4658824612859</v>
      </c>
      <c r="K27" s="57">
        <f>M27-L27-J27</f>
        <v>6.2665380307141731</v>
      </c>
      <c r="L27" s="12">
        <f>SUM(L24:L26)</f>
        <v>318.23287980239996</v>
      </c>
      <c r="M27" s="12">
        <f>H27-N27</f>
        <v>860.96530029439998</v>
      </c>
      <c r="N27" s="21">
        <v>524.54100000000005</v>
      </c>
    </row>
    <row r="28" spans="1:14" ht="16.5" customHeight="1" x14ac:dyDescent="0.2">
      <c r="A28" s="28" t="s">
        <v>3</v>
      </c>
      <c r="B28" s="51"/>
      <c r="C28" s="51"/>
      <c r="D28" s="51"/>
      <c r="E28" s="54"/>
      <c r="F28" s="55">
        <f>F15</f>
        <v>3551.9079999999999</v>
      </c>
      <c r="G28" s="12">
        <f>G15+G19+G23+G27</f>
        <v>15.380623192800002</v>
      </c>
      <c r="H28" s="21">
        <f>E15+F28+G28</f>
        <v>4476.3406231928002</v>
      </c>
      <c r="I28" s="51"/>
      <c r="J28" s="21">
        <f>J15+J19+J23+J27</f>
        <v>2164.571916009776</v>
      </c>
      <c r="K28" s="57">
        <f>K15+K19+K23+K27</f>
        <v>107.97710436542383</v>
      </c>
      <c r="L28" s="12">
        <f>L15+L19+L23+L27</f>
        <v>1679.2506028176001</v>
      </c>
      <c r="M28" s="12">
        <f>M15+M19+M23+M27</f>
        <v>3951.7996231928005</v>
      </c>
      <c r="N28" s="21"/>
    </row>
    <row r="29" spans="1:14" ht="16.5" customHeight="1" x14ac:dyDescent="0.2">
      <c r="A29" s="28"/>
      <c r="B29" s="51"/>
      <c r="C29" s="51"/>
      <c r="D29" s="51"/>
      <c r="E29" s="54"/>
      <c r="F29" s="55"/>
      <c r="G29" s="12"/>
      <c r="H29" s="21"/>
      <c r="I29" s="51"/>
      <c r="J29" s="21"/>
      <c r="K29" s="57"/>
      <c r="L29" s="12"/>
      <c r="M29" s="12"/>
      <c r="N29" s="21"/>
    </row>
    <row r="30" spans="1:14" ht="16.5" customHeight="1" x14ac:dyDescent="0.25">
      <c r="A30" s="50" t="s">
        <v>125</v>
      </c>
      <c r="B30" s="51"/>
      <c r="C30" s="51"/>
      <c r="D30" s="51"/>
      <c r="E30" s="54"/>
      <c r="F30" s="55"/>
      <c r="G30" s="12"/>
      <c r="H30" s="21"/>
      <c r="I30" s="51"/>
      <c r="J30" s="21"/>
      <c r="K30" s="57"/>
      <c r="L30" s="12"/>
      <c r="M30" s="12"/>
      <c r="N30" s="21"/>
    </row>
    <row r="31" spans="1:14" ht="16.5" customHeight="1" x14ac:dyDescent="0.2">
      <c r="A31" s="32" t="s">
        <v>58</v>
      </c>
      <c r="B31" s="51"/>
      <c r="C31" s="51"/>
      <c r="D31" s="51"/>
      <c r="E31" s="54"/>
      <c r="F31" s="55"/>
      <c r="G31" s="12">
        <f>(44527.6*36.744)/1000000</f>
        <v>1.6361221343999999</v>
      </c>
      <c r="I31" s="51"/>
      <c r="J31" s="21">
        <f>((5131665*0.907185)*36.744)/1000000</f>
        <v>171.05689738659061</v>
      </c>
      <c r="K31" s="53"/>
      <c r="L31" s="12">
        <f>(7191284.4*36.744)/1000000</f>
        <v>264.23655399360001</v>
      </c>
      <c r="M31" s="12"/>
      <c r="N31" s="21"/>
    </row>
    <row r="32" spans="1:14" ht="16.5" customHeight="1" x14ac:dyDescent="0.2">
      <c r="A32" s="32" t="s">
        <v>45</v>
      </c>
      <c r="B32" s="51"/>
      <c r="C32" s="51"/>
      <c r="D32" s="51"/>
      <c r="E32" s="58"/>
      <c r="F32" s="55"/>
      <c r="G32" s="12">
        <f>(24879.1*36.744)/1000000</f>
        <v>0.91415765039999997</v>
      </c>
      <c r="I32" s="51"/>
      <c r="J32" s="21">
        <f>((5897079*0.907185)*36.744)/1000000</f>
        <v>196.57090581392558</v>
      </c>
      <c r="K32" s="53"/>
      <c r="L32" s="12">
        <f>(11636404.4*36.744)/1000000</f>
        <v>427.56804327359998</v>
      </c>
      <c r="M32" s="12"/>
      <c r="N32" s="21"/>
    </row>
    <row r="33" spans="1:73" ht="16.5" customHeight="1" x14ac:dyDescent="0.2">
      <c r="A33" s="32" t="s">
        <v>46</v>
      </c>
      <c r="B33" s="51"/>
      <c r="C33" s="51"/>
      <c r="D33" s="51"/>
      <c r="E33" s="58"/>
      <c r="F33" s="55"/>
      <c r="G33" s="12">
        <f>(12431.7*36.744)/1000000</f>
        <v>0.4567903848</v>
      </c>
      <c r="I33" s="51"/>
      <c r="J33" s="21">
        <f>((5731207*0.907185)*36.744)/1000000</f>
        <v>191.04179397920748</v>
      </c>
      <c r="K33" s="53"/>
      <c r="L33" s="12">
        <f>(10867331.6*36.744)/1000000</f>
        <v>399.30923231040003</v>
      </c>
      <c r="M33" s="12"/>
      <c r="N33" s="21"/>
    </row>
    <row r="34" spans="1:73" ht="16.5" customHeight="1" x14ac:dyDescent="0.2">
      <c r="A34" s="32" t="s">
        <v>61</v>
      </c>
      <c r="B34" s="51"/>
      <c r="C34" s="51"/>
      <c r="D34" s="51"/>
      <c r="E34" s="54">
        <f>N27</f>
        <v>524.54100000000005</v>
      </c>
      <c r="F34" s="55">
        <v>4135.4769999999999</v>
      </c>
      <c r="G34" s="12">
        <f>G31+G32+G33</f>
        <v>3.0070701696</v>
      </c>
      <c r="H34" s="21">
        <f>E34+F34+G34</f>
        <v>4663.0250701696004</v>
      </c>
      <c r="I34" s="51"/>
      <c r="J34" s="21">
        <f>J31+J32+J33</f>
        <v>558.66959717972361</v>
      </c>
      <c r="K34" s="53">
        <f>M34-L34-J34</f>
        <v>66.501643412277076</v>
      </c>
      <c r="L34" s="12">
        <f>L31+L32+L33</f>
        <v>1091.1138295776</v>
      </c>
      <c r="M34" s="12">
        <f>H34-N34</f>
        <v>1716.2850701696007</v>
      </c>
      <c r="N34" s="21">
        <v>2946.74</v>
      </c>
    </row>
    <row r="35" spans="1:73" ht="16.899999999999999" customHeight="1" x14ac:dyDescent="0.2">
      <c r="A35" s="28" t="s">
        <v>47</v>
      </c>
      <c r="B35" s="51"/>
      <c r="C35" s="51"/>
      <c r="D35" s="51"/>
      <c r="E35" s="54"/>
      <c r="F35" s="12"/>
      <c r="G35" s="12">
        <f>(23426.8*36.744)/1000000</f>
        <v>0.86079433919999992</v>
      </c>
      <c r="H35" s="21"/>
      <c r="I35" s="51"/>
      <c r="J35" s="21">
        <f>((5794233*0.907185)*36.744)/1000000</f>
        <v>193.14267780827416</v>
      </c>
      <c r="K35" s="53"/>
      <c r="L35" s="12">
        <f>(10445198.5*36.744)/1000000</f>
        <v>383.79837368400001</v>
      </c>
      <c r="M35" s="12"/>
      <c r="N35" s="21"/>
    </row>
    <row r="36" spans="1:73" ht="16.899999999999999" customHeight="1" x14ac:dyDescent="0.2">
      <c r="A36" s="28" t="s">
        <v>48</v>
      </c>
      <c r="B36" s="51"/>
      <c r="C36" s="51"/>
      <c r="D36" s="51"/>
      <c r="E36" s="54"/>
      <c r="F36" s="12"/>
      <c r="G36" s="12">
        <f>(19638*36.744)/1000000</f>
        <v>0.72157867200000003</v>
      </c>
      <c r="H36" s="21"/>
      <c r="I36" s="51"/>
      <c r="J36" s="21">
        <f>((5895360*0.907185)*36.744)/1000000</f>
        <v>196.5136053458304</v>
      </c>
      <c r="K36" s="53"/>
      <c r="L36" s="12">
        <f>(8829299.6*36.744)/1000000</f>
        <v>324.4237845024</v>
      </c>
      <c r="M36" s="12"/>
      <c r="N36" s="21"/>
    </row>
    <row r="37" spans="1:73" ht="16.899999999999999" customHeight="1" x14ac:dyDescent="0.2">
      <c r="A37" s="28" t="s">
        <v>49</v>
      </c>
      <c r="B37" s="51"/>
      <c r="C37" s="51"/>
      <c r="D37" s="51"/>
      <c r="E37" s="54"/>
      <c r="F37" s="12"/>
      <c r="G37" s="12">
        <f>(22552.9*36.744)/1000000</f>
        <v>0.82868375760000001</v>
      </c>
      <c r="H37" s="21"/>
      <c r="I37" s="51"/>
      <c r="J37" s="21">
        <f>((4930499*0.907185)*36.744)/1000000</f>
        <v>164.35130927441435</v>
      </c>
      <c r="K37" s="53"/>
      <c r="L37" s="12">
        <f>(4558707.1*36.744)/1000000</f>
        <v>167.50513368239999</v>
      </c>
      <c r="M37" s="12"/>
      <c r="N37" s="21"/>
    </row>
    <row r="38" spans="1:73" ht="16.899999999999999" customHeight="1" x14ac:dyDescent="0.2">
      <c r="A38" s="28" t="s">
        <v>62</v>
      </c>
      <c r="B38" s="51"/>
      <c r="C38" s="51"/>
      <c r="D38" s="51"/>
      <c r="E38" s="54">
        <f>N34</f>
        <v>2946.74</v>
      </c>
      <c r="F38" s="12"/>
      <c r="G38" s="12">
        <f>SUM(G35:G37)</f>
        <v>2.4110567688</v>
      </c>
      <c r="H38" s="21">
        <f>E38+F38+G38</f>
        <v>2949.1510567687997</v>
      </c>
      <c r="I38" s="51"/>
      <c r="J38" s="21">
        <f>SUM(J35:J37)</f>
        <v>554.00759242851893</v>
      </c>
      <c r="K38" s="53">
        <f>M38-L38-J38</f>
        <v>-42.267827528519319</v>
      </c>
      <c r="L38" s="12">
        <f>SUM(L35:L37)</f>
        <v>875.72729186880008</v>
      </c>
      <c r="M38" s="12">
        <f>H38-N38</f>
        <v>1387.4670567687997</v>
      </c>
      <c r="N38" s="21">
        <v>1561.684</v>
      </c>
    </row>
    <row r="39" spans="1:73" ht="16.899999999999999" customHeight="1" x14ac:dyDescent="0.2">
      <c r="A39" s="28" t="s">
        <v>50</v>
      </c>
      <c r="B39" s="51"/>
      <c r="C39" s="51"/>
      <c r="D39" s="51"/>
      <c r="E39" s="54"/>
      <c r="F39" s="12"/>
      <c r="G39" s="12">
        <f>(26142.7*36.744)/1000000</f>
        <v>0.96058736880000006</v>
      </c>
      <c r="H39" s="21"/>
      <c r="I39" s="51"/>
      <c r="J39" s="21">
        <f>((5646728*0.907185)*36.744)/1000000</f>
        <v>188.22580430834591</v>
      </c>
      <c r="K39" s="53"/>
      <c r="L39" s="12">
        <f>(2295121.8*36.744)/1000000</f>
        <v>84.331955419199986</v>
      </c>
      <c r="M39" s="12"/>
      <c r="N39" s="59"/>
    </row>
    <row r="40" spans="1:73" ht="16.899999999999999" customHeight="1" x14ac:dyDescent="0.2">
      <c r="A40" s="28" t="s">
        <v>51</v>
      </c>
      <c r="B40" s="51"/>
      <c r="C40" s="51"/>
      <c r="D40" s="51"/>
      <c r="E40" s="54"/>
      <c r="F40" s="12"/>
      <c r="G40" s="12">
        <f>(34734.1*36.744)/1000000</f>
        <v>1.2762697704000001</v>
      </c>
      <c r="H40" s="21"/>
      <c r="I40" s="51"/>
      <c r="J40" s="21">
        <f>((5095631*0.907185)*36.744)/1000000</f>
        <v>169.85575424095885</v>
      </c>
      <c r="K40" s="53"/>
      <c r="L40" s="12">
        <f>(1384924.4*36.744)/1000000</f>
        <v>50.887662153599997</v>
      </c>
      <c r="M40" s="12"/>
      <c r="N40" s="59"/>
    </row>
    <row r="41" spans="1:73" ht="16.899999999999999" customHeight="1" x14ac:dyDescent="0.2">
      <c r="A41" s="28" t="s">
        <v>52</v>
      </c>
      <c r="B41" s="51"/>
      <c r="C41" s="51"/>
      <c r="D41" s="51"/>
      <c r="E41" s="54"/>
      <c r="F41" s="12"/>
      <c r="G41" s="12">
        <f>(51046.1*36.744)/1000000</f>
        <v>1.8756378983999997</v>
      </c>
      <c r="H41" s="21"/>
      <c r="I41" s="51"/>
      <c r="J41" s="21">
        <f>((5205032*0.907185)*36.744)/1000000</f>
        <v>173.50248403158051</v>
      </c>
      <c r="K41" s="53"/>
      <c r="L41" s="12">
        <f>(1266685.1*36.744)/1000000</f>
        <v>46.543077314400001</v>
      </c>
      <c r="M41" s="12"/>
      <c r="N41" s="59"/>
    </row>
    <row r="42" spans="1:73" ht="16.899999999999999" customHeight="1" x14ac:dyDescent="0.2">
      <c r="A42" s="28" t="s">
        <v>63</v>
      </c>
      <c r="B42" s="51"/>
      <c r="C42" s="51"/>
      <c r="D42" s="51"/>
      <c r="E42" s="54">
        <f>N38</f>
        <v>1561.684</v>
      </c>
      <c r="F42" s="12"/>
      <c r="G42" s="12">
        <f>SUM(G39:G41)</f>
        <v>4.1124950375999996</v>
      </c>
      <c r="H42" s="21">
        <f>E42+F42+G42</f>
        <v>1565.7964950375999</v>
      </c>
      <c r="I42" s="51"/>
      <c r="J42" s="22">
        <f>SUM(J39:J41)</f>
        <v>531.58404258088524</v>
      </c>
      <c r="K42" s="53">
        <f>M42-L42-J42</f>
        <v>85.668757569514696</v>
      </c>
      <c r="L42" s="12">
        <f>SUM(L39:L41)</f>
        <v>181.76269488719998</v>
      </c>
      <c r="M42" s="12">
        <f>H42-N42</f>
        <v>799.01549503759998</v>
      </c>
      <c r="N42" s="21">
        <v>766.78099999999995</v>
      </c>
    </row>
    <row r="43" spans="1:73" ht="16.899999999999999" customHeight="1" x14ac:dyDescent="0.2">
      <c r="A43" s="28" t="s">
        <v>53</v>
      </c>
      <c r="B43" s="51"/>
      <c r="C43" s="51"/>
      <c r="D43" s="51"/>
      <c r="E43" s="54"/>
      <c r="F43" s="12"/>
      <c r="G43" s="12">
        <f>(205436.7*36.744)/1000000</f>
        <v>7.5485661048000008</v>
      </c>
      <c r="H43" s="21"/>
      <c r="I43" s="51"/>
      <c r="J43" s="22">
        <f>((4852334*0.907185)*36.744)/1000000</f>
        <v>161.74578798956375</v>
      </c>
      <c r="K43" s="53"/>
      <c r="L43" s="12">
        <f>(925497.6*36.744)/1000000</f>
        <v>34.006483814399999</v>
      </c>
      <c r="M43" s="12"/>
      <c r="N43" s="21"/>
    </row>
    <row r="44" spans="1:73" ht="16.899999999999999" customHeight="1" x14ac:dyDescent="0.2">
      <c r="A44" s="28" t="s">
        <v>55</v>
      </c>
      <c r="B44" s="51"/>
      <c r="C44" s="51"/>
      <c r="D44" s="51"/>
      <c r="E44" s="54"/>
      <c r="F44" s="12"/>
      <c r="G44" s="12">
        <f>(59776.6*36.744)/1000000</f>
        <v>2.1964313903999999</v>
      </c>
      <c r="H44" s="21"/>
      <c r="I44" s="51"/>
      <c r="J44" s="22">
        <f>((4990975*0.907185)*36.744)/1000000</f>
        <v>166.367192409099</v>
      </c>
      <c r="K44" s="53"/>
      <c r="L44" s="12">
        <f>(945804.5*36.744)/1000000</f>
        <v>34.752640548000002</v>
      </c>
      <c r="M44" s="12"/>
      <c r="N44" s="21"/>
    </row>
    <row r="45" spans="1:73" ht="16.5" customHeight="1" x14ac:dyDescent="0.2">
      <c r="A45" s="26" t="s">
        <v>126</v>
      </c>
      <c r="B45" s="60"/>
      <c r="C45" s="60"/>
      <c r="D45" s="60"/>
      <c r="E45" s="61"/>
      <c r="F45" s="62">
        <f>F34</f>
        <v>4135.4769999999999</v>
      </c>
      <c r="G45" s="63">
        <f>G34+G38+G42+G43+G44</f>
        <v>19.275619471200002</v>
      </c>
      <c r="H45" s="8">
        <f>E34+F45+G45</f>
        <v>4679.2936194712001</v>
      </c>
      <c r="I45" s="60"/>
      <c r="J45" s="8">
        <f>J34+J38+J42+J43+J44</f>
        <v>1972.3742125877907</v>
      </c>
      <c r="K45" s="64">
        <f>SUM(K34,K38,K42)</f>
        <v>109.90257345327245</v>
      </c>
      <c r="L45" s="63">
        <f>L34+L38+L42+L43+L44</f>
        <v>2217.3629406959994</v>
      </c>
      <c r="M45" s="63">
        <f>M34+M38+M42</f>
        <v>3902.7676219760006</v>
      </c>
      <c r="N45" s="8"/>
    </row>
    <row r="46" spans="1:73" ht="16.5" customHeight="1" x14ac:dyDescent="0.2">
      <c r="A46" s="65" t="s">
        <v>118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66"/>
      <c r="M46" s="32"/>
      <c r="N46" s="32"/>
    </row>
    <row r="47" spans="1:73" ht="16.5" customHeight="1" x14ac:dyDescent="0.2">
      <c r="A47" s="28" t="s">
        <v>146</v>
      </c>
      <c r="B47" s="28"/>
      <c r="C47" s="28"/>
      <c r="D47" s="28"/>
      <c r="E47" s="67"/>
      <c r="F47" s="67"/>
      <c r="G47" s="67"/>
      <c r="H47" s="67"/>
      <c r="I47" s="67"/>
      <c r="J47" s="67"/>
      <c r="K47" s="67"/>
      <c r="L47" s="67"/>
      <c r="M47" s="67"/>
      <c r="N47" s="67"/>
    </row>
    <row r="48" spans="1:73" ht="16.5" customHeight="1" x14ac:dyDescent="0.2">
      <c r="A48" s="34" t="s">
        <v>18</v>
      </c>
      <c r="B48" s="68">
        <f ca="1">NOW()</f>
        <v>44452.456168402779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69"/>
      <c r="P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</row>
    <row r="49" spans="6:73" x14ac:dyDescent="0.2">
      <c r="O49" s="69"/>
      <c r="P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</row>
    <row r="50" spans="6:73" x14ac:dyDescent="0.2">
      <c r="O50" s="69"/>
      <c r="P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</row>
    <row r="51" spans="6:73" x14ac:dyDescent="0.2">
      <c r="O51" s="69"/>
      <c r="P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</row>
    <row r="52" spans="6:73" x14ac:dyDescent="0.2">
      <c r="F52" s="70"/>
      <c r="O52" s="69"/>
      <c r="P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</row>
    <row r="53" spans="6:73" x14ac:dyDescent="0.2">
      <c r="O53" s="69"/>
      <c r="P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</row>
    <row r="54" spans="6:73" x14ac:dyDescent="0.2">
      <c r="O54" s="69"/>
      <c r="P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</row>
    <row r="55" spans="6:73" x14ac:dyDescent="0.2">
      <c r="O55" s="69"/>
      <c r="P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</row>
    <row r="56" spans="6:73" x14ac:dyDescent="0.2">
      <c r="O56" s="69"/>
      <c r="P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</row>
    <row r="57" spans="6:73" x14ac:dyDescent="0.2">
      <c r="O57" s="69"/>
      <c r="P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</row>
    <row r="58" spans="6:73" x14ac:dyDescent="0.2">
      <c r="O58" s="69"/>
      <c r="P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</row>
    <row r="59" spans="6:73" x14ac:dyDescent="0.2">
      <c r="O59" s="69"/>
      <c r="P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</row>
    <row r="60" spans="6:73" x14ac:dyDescent="0.2">
      <c r="O60" s="69"/>
      <c r="P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</row>
    <row r="61" spans="6:73" x14ac:dyDescent="0.2">
      <c r="O61" s="69"/>
      <c r="P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</row>
    <row r="62" spans="6:73" x14ac:dyDescent="0.2">
      <c r="O62" s="69"/>
      <c r="P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</row>
    <row r="63" spans="6:73" x14ac:dyDescent="0.2">
      <c r="O63" s="69"/>
      <c r="P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</row>
    <row r="64" spans="6:73" x14ac:dyDescent="0.2">
      <c r="O64" s="69"/>
      <c r="P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</row>
    <row r="65" spans="15:73" x14ac:dyDescent="0.2">
      <c r="O65" s="69"/>
      <c r="P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</row>
    <row r="66" spans="15:73" x14ac:dyDescent="0.2">
      <c r="O66" s="69"/>
      <c r="P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</row>
    <row r="67" spans="15:73" x14ac:dyDescent="0.2">
      <c r="O67" s="69"/>
      <c r="P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</row>
    <row r="68" spans="15:73" x14ac:dyDescent="0.2">
      <c r="O68" s="69"/>
      <c r="P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</row>
    <row r="69" spans="15:73" x14ac:dyDescent="0.2">
      <c r="O69" s="69"/>
      <c r="P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</row>
    <row r="70" spans="15:73" x14ac:dyDescent="0.2">
      <c r="O70" s="69"/>
      <c r="P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</row>
    <row r="71" spans="15:73" x14ac:dyDescent="0.2">
      <c r="O71" s="69"/>
      <c r="P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</row>
    <row r="72" spans="15:73" x14ac:dyDescent="0.2">
      <c r="O72" s="69"/>
      <c r="P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</row>
    <row r="73" spans="15:73" x14ac:dyDescent="0.2">
      <c r="O73" s="69"/>
      <c r="P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</row>
    <row r="74" spans="15:73" x14ac:dyDescent="0.2">
      <c r="O74" s="69"/>
      <c r="P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</row>
    <row r="75" spans="15:73" x14ac:dyDescent="0.2">
      <c r="O75" s="69"/>
      <c r="P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</row>
    <row r="76" spans="15:73" x14ac:dyDescent="0.2"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</row>
    <row r="77" spans="15:73" x14ac:dyDescent="0.2"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</row>
    <row r="78" spans="15:73" x14ac:dyDescent="0.2"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</row>
    <row r="79" spans="15:73" x14ac:dyDescent="0.2"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</row>
    <row r="80" spans="15:73" x14ac:dyDescent="0.2"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</row>
    <row r="81" spans="15:73" x14ac:dyDescent="0.2"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</row>
    <row r="82" spans="15:73" x14ac:dyDescent="0.2"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</row>
    <row r="83" spans="15:73" x14ac:dyDescent="0.2"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</row>
    <row r="84" spans="15:73" x14ac:dyDescent="0.2"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</row>
    <row r="85" spans="15:73" x14ac:dyDescent="0.2"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</row>
    <row r="86" spans="15:73" x14ac:dyDescent="0.2"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</row>
    <row r="87" spans="15:73" x14ac:dyDescent="0.2"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</row>
    <row r="88" spans="15:73" x14ac:dyDescent="0.2"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</row>
    <row r="89" spans="15:73" x14ac:dyDescent="0.2"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</row>
    <row r="90" spans="15:73" x14ac:dyDescent="0.2"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</row>
    <row r="91" spans="15:73" x14ac:dyDescent="0.2"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</row>
    <row r="92" spans="15:73" x14ac:dyDescent="0.2"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</row>
    <row r="93" spans="15:73" x14ac:dyDescent="0.2"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</row>
    <row r="94" spans="15:73" x14ac:dyDescent="0.2"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</row>
    <row r="95" spans="15:73" x14ac:dyDescent="0.2"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</row>
    <row r="96" spans="15:73" x14ac:dyDescent="0.2"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</row>
    <row r="97" spans="15:73" x14ac:dyDescent="0.2"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</row>
    <row r="98" spans="15:73" x14ac:dyDescent="0.2"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</row>
    <row r="99" spans="15:73" x14ac:dyDescent="0.2"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</row>
    <row r="100" spans="15:73" x14ac:dyDescent="0.2"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</row>
    <row r="101" spans="15:73" x14ac:dyDescent="0.2"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</row>
    <row r="102" spans="15:73" x14ac:dyDescent="0.2"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</row>
    <row r="103" spans="15:73" x14ac:dyDescent="0.2"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</row>
    <row r="104" spans="15:73" x14ac:dyDescent="0.2"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</row>
    <row r="105" spans="15:73" x14ac:dyDescent="0.2"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</row>
    <row r="106" spans="15:73" x14ac:dyDescent="0.2"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</row>
    <row r="107" spans="15:73" x14ac:dyDescent="0.2"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</row>
    <row r="108" spans="15:73" x14ac:dyDescent="0.2"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</row>
    <row r="109" spans="15:73" x14ac:dyDescent="0.2"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</row>
    <row r="110" spans="15:73" x14ac:dyDescent="0.2"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</row>
    <row r="111" spans="15:73" x14ac:dyDescent="0.2"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</row>
    <row r="112" spans="15:73" x14ac:dyDescent="0.2"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</row>
    <row r="113" spans="15:73" x14ac:dyDescent="0.2"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</row>
    <row r="114" spans="15:73" x14ac:dyDescent="0.2"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</row>
    <row r="115" spans="15:73" x14ac:dyDescent="0.2"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</row>
    <row r="116" spans="15:73" x14ac:dyDescent="0.2"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</row>
    <row r="117" spans="15:73" x14ac:dyDescent="0.2"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</row>
    <row r="118" spans="15:73" x14ac:dyDescent="0.2"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</row>
    <row r="119" spans="15:73" x14ac:dyDescent="0.2"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</row>
    <row r="120" spans="15:73" x14ac:dyDescent="0.2"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</row>
    <row r="121" spans="15:73" x14ac:dyDescent="0.2"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</row>
    <row r="122" spans="15:73" x14ac:dyDescent="0.2"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</row>
    <row r="123" spans="15:73" x14ac:dyDescent="0.2"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</row>
    <row r="124" spans="15:73" x14ac:dyDescent="0.2"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</row>
    <row r="125" spans="15:73" x14ac:dyDescent="0.2"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</row>
    <row r="126" spans="15:73" x14ac:dyDescent="0.2"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</row>
    <row r="127" spans="15:73" x14ac:dyDescent="0.2"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</row>
    <row r="128" spans="15:73" x14ac:dyDescent="0.2"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</row>
    <row r="129" spans="15:73" x14ac:dyDescent="0.2"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</row>
    <row r="130" spans="15:73" x14ac:dyDescent="0.2"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</row>
    <row r="131" spans="15:73" x14ac:dyDescent="0.2"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</row>
    <row r="132" spans="15:73" x14ac:dyDescent="0.2"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</row>
    <row r="133" spans="15:73" x14ac:dyDescent="0.2"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</row>
    <row r="134" spans="15:73" x14ac:dyDescent="0.2"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</row>
    <row r="135" spans="15:73" x14ac:dyDescent="0.2"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</row>
    <row r="136" spans="15:73" x14ac:dyDescent="0.2"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</row>
    <row r="137" spans="15:73" x14ac:dyDescent="0.2"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</row>
    <row r="138" spans="15:73" x14ac:dyDescent="0.2"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</row>
    <row r="139" spans="15:73" x14ac:dyDescent="0.2"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</row>
    <row r="140" spans="15:73" x14ac:dyDescent="0.2"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</row>
    <row r="141" spans="15:73" x14ac:dyDescent="0.2"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</row>
    <row r="142" spans="15:73" x14ac:dyDescent="0.2"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</row>
    <row r="143" spans="15:73" x14ac:dyDescent="0.2"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</row>
    <row r="144" spans="15:73" x14ac:dyDescent="0.2"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</row>
    <row r="145" spans="15:73" x14ac:dyDescent="0.2"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</row>
    <row r="146" spans="15:73" x14ac:dyDescent="0.2"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</row>
    <row r="147" spans="15:73" x14ac:dyDescent="0.2"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</row>
    <row r="148" spans="15:73" x14ac:dyDescent="0.2"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</row>
    <row r="149" spans="15:73" x14ac:dyDescent="0.2"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</row>
    <row r="150" spans="15:73" x14ac:dyDescent="0.2"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</row>
    <row r="151" spans="15:73" x14ac:dyDescent="0.2"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</row>
    <row r="152" spans="15:73" x14ac:dyDescent="0.2"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</row>
    <row r="153" spans="15:73" x14ac:dyDescent="0.2"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</row>
    <row r="154" spans="15:73" x14ac:dyDescent="0.2"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</row>
    <row r="155" spans="15:73" x14ac:dyDescent="0.2"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</row>
    <row r="156" spans="15:73" x14ac:dyDescent="0.2"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</row>
    <row r="157" spans="15:73" x14ac:dyDescent="0.2"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</row>
    <row r="158" spans="15:73" x14ac:dyDescent="0.2"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</row>
    <row r="159" spans="15:73" x14ac:dyDescent="0.2"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</row>
    <row r="160" spans="15:73" x14ac:dyDescent="0.2"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</row>
    <row r="161" spans="15:73" x14ac:dyDescent="0.2"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</row>
    <row r="162" spans="15:73" x14ac:dyDescent="0.2"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</row>
    <row r="163" spans="15:73" x14ac:dyDescent="0.2"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</row>
    <row r="164" spans="15:73" x14ac:dyDescent="0.2"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</row>
    <row r="165" spans="15:73" x14ac:dyDescent="0.2"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</row>
    <row r="166" spans="15:73" x14ac:dyDescent="0.2"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</row>
    <row r="167" spans="15:73" x14ac:dyDescent="0.2"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</row>
    <row r="168" spans="15:73" x14ac:dyDescent="0.2"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</row>
    <row r="169" spans="15:73" x14ac:dyDescent="0.2"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</row>
    <row r="170" spans="15:73" x14ac:dyDescent="0.2"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</row>
    <row r="171" spans="15:73" x14ac:dyDescent="0.2"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</row>
    <row r="172" spans="15:73" x14ac:dyDescent="0.2"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</row>
    <row r="173" spans="15:73" x14ac:dyDescent="0.2"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</row>
    <row r="174" spans="15:73" x14ac:dyDescent="0.2"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</row>
    <row r="175" spans="15:73" x14ac:dyDescent="0.2"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</row>
    <row r="176" spans="15:73" x14ac:dyDescent="0.2"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</row>
    <row r="177" spans="15:73" x14ac:dyDescent="0.2"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</row>
    <row r="178" spans="15:73" x14ac:dyDescent="0.2"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</row>
    <row r="179" spans="15:73" x14ac:dyDescent="0.2"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</row>
    <row r="180" spans="15:73" x14ac:dyDescent="0.2"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</row>
    <row r="181" spans="15:73" x14ac:dyDescent="0.2"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</row>
    <row r="182" spans="15:73" x14ac:dyDescent="0.2"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</row>
    <row r="183" spans="15:73" x14ac:dyDescent="0.2"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</row>
    <row r="184" spans="15:73" x14ac:dyDescent="0.2"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</row>
    <row r="185" spans="15:73" x14ac:dyDescent="0.2"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</row>
    <row r="186" spans="15:73" x14ac:dyDescent="0.2"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</row>
    <row r="187" spans="15:73" x14ac:dyDescent="0.2"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</row>
    <row r="188" spans="15:73" x14ac:dyDescent="0.2"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</row>
    <row r="189" spans="15:73" x14ac:dyDescent="0.2"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</row>
    <row r="190" spans="15:73" x14ac:dyDescent="0.2"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</row>
    <row r="191" spans="15:73" x14ac:dyDescent="0.2"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</row>
    <row r="192" spans="15:73" x14ac:dyDescent="0.2"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</row>
    <row r="193" spans="15:73" x14ac:dyDescent="0.2"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</row>
    <row r="194" spans="15:73" x14ac:dyDescent="0.2"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</row>
    <row r="195" spans="15:73" x14ac:dyDescent="0.2"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</row>
    <row r="196" spans="15:73" x14ac:dyDescent="0.2"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</row>
    <row r="197" spans="15:73" x14ac:dyDescent="0.2"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</row>
    <row r="198" spans="15:73" x14ac:dyDescent="0.2"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</row>
    <row r="199" spans="15:73" x14ac:dyDescent="0.2"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</row>
    <row r="200" spans="15:73" x14ac:dyDescent="0.2"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</row>
    <row r="201" spans="15:73" x14ac:dyDescent="0.2"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</row>
    <row r="202" spans="15:73" x14ac:dyDescent="0.2"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</row>
    <row r="203" spans="15:73" x14ac:dyDescent="0.2"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</row>
    <row r="204" spans="15:73" x14ac:dyDescent="0.2"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</row>
    <row r="205" spans="15:73" x14ac:dyDescent="0.2"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</row>
    <row r="206" spans="15:73" x14ac:dyDescent="0.2"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</row>
    <row r="207" spans="15:73" x14ac:dyDescent="0.2"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</row>
    <row r="208" spans="15:73" x14ac:dyDescent="0.2"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</row>
    <row r="209" spans="15:73" x14ac:dyDescent="0.2"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</row>
    <row r="210" spans="15:73" x14ac:dyDescent="0.2"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</row>
    <row r="211" spans="15:73" x14ac:dyDescent="0.2"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</row>
    <row r="212" spans="15:73" x14ac:dyDescent="0.2"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</row>
    <row r="213" spans="15:73" x14ac:dyDescent="0.2"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</row>
    <row r="214" spans="15:73" x14ac:dyDescent="0.2"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</row>
    <row r="215" spans="15:73" x14ac:dyDescent="0.2"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</row>
    <row r="216" spans="15:73" x14ac:dyDescent="0.2"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</row>
    <row r="217" spans="15:73" x14ac:dyDescent="0.2"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</row>
    <row r="218" spans="15:73" x14ac:dyDescent="0.2"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</row>
    <row r="219" spans="15:73" x14ac:dyDescent="0.2"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</row>
    <row r="220" spans="15:73" x14ac:dyDescent="0.2"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</row>
    <row r="221" spans="15:73" x14ac:dyDescent="0.2"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</row>
    <row r="222" spans="15:73" x14ac:dyDescent="0.2"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</row>
    <row r="223" spans="15:73" x14ac:dyDescent="0.2"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</row>
    <row r="224" spans="15:73" x14ac:dyDescent="0.2"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</row>
    <row r="225" spans="15:73" x14ac:dyDescent="0.2"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</row>
    <row r="226" spans="15:73" x14ac:dyDescent="0.2"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</row>
    <row r="227" spans="15:73" x14ac:dyDescent="0.2"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</row>
    <row r="228" spans="15:73" x14ac:dyDescent="0.2"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</row>
    <row r="229" spans="15:73" x14ac:dyDescent="0.2"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</row>
    <row r="230" spans="15:73" x14ac:dyDescent="0.2"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</row>
    <row r="231" spans="15:73" x14ac:dyDescent="0.2"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</row>
    <row r="232" spans="15:73" x14ac:dyDescent="0.2"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</row>
    <row r="233" spans="15:73" x14ac:dyDescent="0.2"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</row>
    <row r="234" spans="15:73" x14ac:dyDescent="0.2"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</row>
    <row r="235" spans="15:73" x14ac:dyDescent="0.2"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</row>
    <row r="236" spans="15:73" x14ac:dyDescent="0.2"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</row>
    <row r="237" spans="15:73" x14ac:dyDescent="0.2"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</row>
    <row r="238" spans="15:73" x14ac:dyDescent="0.2"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</row>
    <row r="239" spans="15:73" x14ac:dyDescent="0.2"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</row>
    <row r="240" spans="15:73" x14ac:dyDescent="0.2"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</row>
    <row r="241" spans="15:73" x14ac:dyDescent="0.2"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</row>
    <row r="242" spans="15:73" x14ac:dyDescent="0.2"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</row>
    <row r="243" spans="15:73" x14ac:dyDescent="0.2"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</row>
    <row r="244" spans="15:73" x14ac:dyDescent="0.2"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</row>
    <row r="245" spans="15:73" x14ac:dyDescent="0.2"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</row>
    <row r="246" spans="15:73" x14ac:dyDescent="0.2"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</row>
    <row r="247" spans="15:73" x14ac:dyDescent="0.2"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</row>
    <row r="248" spans="15:73" x14ac:dyDescent="0.2"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</row>
    <row r="249" spans="15:73" x14ac:dyDescent="0.2"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</row>
    <row r="250" spans="15:73" x14ac:dyDescent="0.2"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</row>
    <row r="251" spans="15:73" x14ac:dyDescent="0.2"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</row>
    <row r="252" spans="15:73" x14ac:dyDescent="0.2"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</row>
    <row r="253" spans="15:73" x14ac:dyDescent="0.2"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69"/>
      <c r="BL253" s="69"/>
      <c r="BM253" s="69"/>
      <c r="BN253" s="69"/>
      <c r="BO253" s="69"/>
      <c r="BP253" s="69"/>
      <c r="BQ253" s="69"/>
      <c r="BR253" s="69"/>
      <c r="BS253" s="69"/>
      <c r="BT253" s="69"/>
      <c r="BU253" s="69"/>
    </row>
    <row r="254" spans="15:73" x14ac:dyDescent="0.2"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</row>
    <row r="255" spans="15:73" x14ac:dyDescent="0.2"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</row>
    <row r="256" spans="15:73" x14ac:dyDescent="0.2"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</row>
    <row r="257" spans="15:73" x14ac:dyDescent="0.2"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9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9"/>
      <c r="BS257" s="69"/>
      <c r="BT257" s="69"/>
      <c r="BU257" s="69"/>
    </row>
    <row r="258" spans="15:73" x14ac:dyDescent="0.2"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9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9"/>
      <c r="BS258" s="69"/>
      <c r="BT258" s="69"/>
      <c r="BU258" s="69"/>
    </row>
    <row r="259" spans="15:73" x14ac:dyDescent="0.2"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</row>
    <row r="260" spans="15:73" x14ac:dyDescent="0.2"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9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9"/>
      <c r="BS260" s="69"/>
      <c r="BT260" s="69"/>
      <c r="BU260" s="69"/>
    </row>
    <row r="261" spans="15:73" x14ac:dyDescent="0.2"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</row>
    <row r="262" spans="15:73" x14ac:dyDescent="0.2"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</row>
    <row r="263" spans="15:73" x14ac:dyDescent="0.2"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9"/>
      <c r="BU263" s="69"/>
    </row>
    <row r="264" spans="15:73" x14ac:dyDescent="0.2"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69"/>
      <c r="BL264" s="69"/>
      <c r="BM264" s="69"/>
      <c r="BN264" s="69"/>
      <c r="BO264" s="69"/>
      <c r="BP264" s="69"/>
      <c r="BQ264" s="69"/>
      <c r="BR264" s="69"/>
      <c r="BS264" s="69"/>
      <c r="BT264" s="69"/>
      <c r="BU264" s="69"/>
    </row>
    <row r="265" spans="15:73" x14ac:dyDescent="0.2"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</row>
    <row r="266" spans="15:73" x14ac:dyDescent="0.2"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69"/>
      <c r="BG266" s="69"/>
      <c r="BH266" s="69"/>
      <c r="BI266" s="69"/>
      <c r="BJ266" s="69"/>
      <c r="BK266" s="69"/>
      <c r="BL266" s="69"/>
      <c r="BM266" s="69"/>
      <c r="BN266" s="69"/>
      <c r="BO266" s="69"/>
      <c r="BP266" s="69"/>
      <c r="BQ266" s="69"/>
      <c r="BR266" s="69"/>
      <c r="BS266" s="69"/>
      <c r="BT266" s="69"/>
      <c r="BU266" s="69"/>
    </row>
    <row r="267" spans="15:73" x14ac:dyDescent="0.2"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69"/>
      <c r="BG267" s="69"/>
      <c r="BH267" s="69"/>
      <c r="BI267" s="69"/>
      <c r="BJ267" s="69"/>
      <c r="BK267" s="69"/>
      <c r="BL267" s="69"/>
      <c r="BM267" s="69"/>
      <c r="BN267" s="69"/>
      <c r="BO267" s="69"/>
      <c r="BP267" s="69"/>
      <c r="BQ267" s="69"/>
      <c r="BR267" s="69"/>
      <c r="BS267" s="69"/>
      <c r="BT267" s="69"/>
      <c r="BU267" s="69"/>
    </row>
    <row r="268" spans="15:73" x14ac:dyDescent="0.2"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</row>
    <row r="269" spans="15:73" x14ac:dyDescent="0.2"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9"/>
      <c r="BG269" s="69"/>
      <c r="BH269" s="69"/>
      <c r="BI269" s="69"/>
      <c r="BJ269" s="69"/>
      <c r="BK269" s="69"/>
      <c r="BL269" s="69"/>
      <c r="BM269" s="69"/>
      <c r="BN269" s="69"/>
      <c r="BO269" s="69"/>
      <c r="BP269" s="69"/>
      <c r="BQ269" s="69"/>
      <c r="BR269" s="69"/>
      <c r="BS269" s="69"/>
      <c r="BT269" s="69"/>
      <c r="BU269" s="69"/>
    </row>
    <row r="270" spans="15:73" x14ac:dyDescent="0.2"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</row>
    <row r="271" spans="15:73" x14ac:dyDescent="0.2"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</row>
    <row r="272" spans="15:73" x14ac:dyDescent="0.2"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</row>
    <row r="273" spans="15:73" x14ac:dyDescent="0.2"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</row>
    <row r="274" spans="15:73" x14ac:dyDescent="0.2"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 s="69"/>
      <c r="BT274" s="69"/>
      <c r="BU274" s="69"/>
    </row>
    <row r="275" spans="15:73" x14ac:dyDescent="0.2"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  <c r="BU275" s="69"/>
    </row>
    <row r="276" spans="15:73" x14ac:dyDescent="0.2"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69"/>
      <c r="BG276" s="69"/>
      <c r="BH276" s="69"/>
      <c r="BI276" s="69"/>
      <c r="BJ276" s="69"/>
      <c r="BK276" s="69"/>
      <c r="BL276" s="69"/>
      <c r="BM276" s="69"/>
      <c r="BN276" s="69"/>
      <c r="BO276" s="69"/>
      <c r="BP276" s="69"/>
      <c r="BQ276" s="69"/>
      <c r="BR276" s="69"/>
      <c r="BS276" s="69"/>
      <c r="BT276" s="69"/>
      <c r="BU276" s="69"/>
    </row>
    <row r="277" spans="15:73" x14ac:dyDescent="0.2"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69"/>
      <c r="BG277" s="69"/>
      <c r="BH277" s="69"/>
      <c r="BI277" s="69"/>
      <c r="BJ277" s="69"/>
      <c r="BK277" s="69"/>
      <c r="BL277" s="69"/>
      <c r="BM277" s="69"/>
      <c r="BN277" s="69"/>
      <c r="BO277" s="69"/>
      <c r="BP277" s="69"/>
      <c r="BQ277" s="69"/>
      <c r="BR277" s="69"/>
      <c r="BS277" s="69"/>
      <c r="BT277" s="69"/>
      <c r="BU277" s="69"/>
    </row>
    <row r="278" spans="15:73" x14ac:dyDescent="0.2"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9"/>
      <c r="BG278" s="69"/>
      <c r="BH278" s="69"/>
      <c r="BI278" s="69"/>
      <c r="BJ278" s="69"/>
      <c r="BK278" s="69"/>
      <c r="BL278" s="69"/>
      <c r="BM278" s="69"/>
      <c r="BN278" s="69"/>
      <c r="BO278" s="69"/>
      <c r="BP278" s="69"/>
      <c r="BQ278" s="69"/>
      <c r="BR278" s="69"/>
      <c r="BS278" s="69"/>
      <c r="BT278" s="69"/>
      <c r="BU278" s="69"/>
    </row>
    <row r="279" spans="15:73" x14ac:dyDescent="0.2"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69"/>
      <c r="BG279" s="69"/>
      <c r="BH279" s="69"/>
      <c r="BI279" s="69"/>
      <c r="BJ279" s="69"/>
      <c r="BK279" s="69"/>
      <c r="BL279" s="69"/>
      <c r="BM279" s="69"/>
      <c r="BN279" s="69"/>
      <c r="BO279" s="69"/>
      <c r="BP279" s="69"/>
      <c r="BQ279" s="69"/>
      <c r="BR279" s="69"/>
      <c r="BS279" s="69"/>
      <c r="BT279" s="69"/>
      <c r="BU279" s="69"/>
    </row>
    <row r="280" spans="15:73" x14ac:dyDescent="0.2"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  <c r="BD280" s="69"/>
      <c r="BE280" s="69"/>
      <c r="BF280" s="69"/>
      <c r="BG280" s="69"/>
      <c r="BH280" s="69"/>
      <c r="BI280" s="69"/>
      <c r="BJ280" s="69"/>
      <c r="BK280" s="69"/>
      <c r="BL280" s="69"/>
      <c r="BM280" s="69"/>
      <c r="BN280" s="69"/>
      <c r="BO280" s="69"/>
      <c r="BP280" s="69"/>
      <c r="BQ280" s="69"/>
      <c r="BR280" s="69"/>
      <c r="BS280" s="69"/>
      <c r="BT280" s="69"/>
      <c r="BU280" s="69"/>
    </row>
    <row r="281" spans="15:73" x14ac:dyDescent="0.2"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9"/>
      <c r="BG281" s="69"/>
      <c r="BH281" s="69"/>
      <c r="BI281" s="69"/>
      <c r="BJ281" s="69"/>
      <c r="BK281" s="69"/>
      <c r="BL281" s="69"/>
      <c r="BM281" s="69"/>
      <c r="BN281" s="69"/>
      <c r="BO281" s="69"/>
      <c r="BP281" s="69"/>
      <c r="BQ281" s="69"/>
      <c r="BR281" s="69"/>
      <c r="BS281" s="69"/>
      <c r="BT281" s="69"/>
      <c r="BU281" s="69"/>
    </row>
    <row r="282" spans="15:73" x14ac:dyDescent="0.2"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  <c r="BD282" s="69"/>
      <c r="BE282" s="69"/>
      <c r="BF282" s="69"/>
      <c r="BG282" s="69"/>
      <c r="BH282" s="69"/>
      <c r="BI282" s="69"/>
      <c r="BJ282" s="69"/>
      <c r="BK282" s="69"/>
      <c r="BL282" s="69"/>
      <c r="BM282" s="69"/>
      <c r="BN282" s="69"/>
      <c r="BO282" s="69"/>
      <c r="BP282" s="69"/>
      <c r="BQ282" s="69"/>
      <c r="BR282" s="69"/>
      <c r="BS282" s="69"/>
      <c r="BT282" s="69"/>
      <c r="BU282" s="69"/>
    </row>
    <row r="283" spans="15:73" x14ac:dyDescent="0.2"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69"/>
      <c r="BG283" s="69"/>
      <c r="BH283" s="69"/>
      <c r="BI283" s="69"/>
      <c r="BJ283" s="69"/>
      <c r="BK283" s="69"/>
      <c r="BL283" s="69"/>
      <c r="BM283" s="69"/>
      <c r="BN283" s="69"/>
      <c r="BO283" s="69"/>
      <c r="BP283" s="69"/>
      <c r="BQ283" s="69"/>
      <c r="BR283" s="69"/>
      <c r="BS283" s="69"/>
      <c r="BT283" s="69"/>
      <c r="BU283" s="69"/>
    </row>
    <row r="284" spans="15:73" x14ac:dyDescent="0.2"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69"/>
      <c r="BG284" s="69"/>
      <c r="BH284" s="69"/>
      <c r="BI284" s="69"/>
      <c r="BJ284" s="69"/>
      <c r="BK284" s="69"/>
      <c r="BL284" s="69"/>
      <c r="BM284" s="69"/>
      <c r="BN284" s="69"/>
      <c r="BO284" s="69"/>
      <c r="BP284" s="69"/>
      <c r="BQ284" s="69"/>
      <c r="BR284" s="69"/>
      <c r="BS284" s="69"/>
      <c r="BT284" s="69"/>
      <c r="BU284" s="69"/>
    </row>
    <row r="285" spans="15:73" x14ac:dyDescent="0.2"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  <c r="BD285" s="69"/>
      <c r="BE285" s="69"/>
      <c r="BF285" s="69"/>
      <c r="BG285" s="69"/>
      <c r="BH285" s="69"/>
      <c r="BI285" s="69"/>
      <c r="BJ285" s="69"/>
      <c r="BK285" s="69"/>
      <c r="BL285" s="69"/>
      <c r="BM285" s="69"/>
      <c r="BN285" s="69"/>
      <c r="BO285" s="69"/>
      <c r="BP285" s="69"/>
      <c r="BQ285" s="69"/>
      <c r="BR285" s="69"/>
      <c r="BS285" s="69"/>
      <c r="BT285" s="69"/>
      <c r="BU285" s="69"/>
    </row>
    <row r="286" spans="15:73" x14ac:dyDescent="0.2"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69"/>
      <c r="BG286" s="69"/>
      <c r="BH286" s="69"/>
      <c r="BI286" s="69"/>
      <c r="BJ286" s="69"/>
      <c r="BK286" s="69"/>
      <c r="BL286" s="69"/>
      <c r="BM286" s="69"/>
      <c r="BN286" s="69"/>
      <c r="BO286" s="69"/>
      <c r="BP286" s="69"/>
      <c r="BQ286" s="69"/>
      <c r="BR286" s="69"/>
      <c r="BS286" s="69"/>
      <c r="BT286" s="69"/>
      <c r="BU286" s="69"/>
    </row>
    <row r="287" spans="15:73" x14ac:dyDescent="0.2"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69"/>
      <c r="BG287" s="69"/>
      <c r="BH287" s="69"/>
      <c r="BI287" s="69"/>
      <c r="BJ287" s="69"/>
      <c r="BK287" s="69"/>
      <c r="BL287" s="69"/>
      <c r="BM287" s="69"/>
      <c r="BN287" s="69"/>
      <c r="BO287" s="69"/>
      <c r="BP287" s="69"/>
      <c r="BQ287" s="69"/>
      <c r="BR287" s="69"/>
      <c r="BS287" s="69"/>
      <c r="BT287" s="69"/>
      <c r="BU287" s="69"/>
    </row>
    <row r="288" spans="15:73" x14ac:dyDescent="0.2"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69"/>
      <c r="BG288" s="69"/>
      <c r="BH288" s="69"/>
      <c r="BI288" s="69"/>
      <c r="BJ288" s="69"/>
      <c r="BK288" s="69"/>
      <c r="BL288" s="69"/>
      <c r="BM288" s="69"/>
      <c r="BN288" s="69"/>
      <c r="BO288" s="69"/>
      <c r="BP288" s="69"/>
      <c r="BQ288" s="69"/>
      <c r="BR288" s="69"/>
      <c r="BS288" s="69"/>
      <c r="BT288" s="69"/>
      <c r="BU288" s="69"/>
    </row>
    <row r="289" spans="15:73" x14ac:dyDescent="0.2"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  <c r="BD289" s="69"/>
      <c r="BE289" s="69"/>
      <c r="BF289" s="69"/>
      <c r="BG289" s="69"/>
      <c r="BH289" s="69"/>
      <c r="BI289" s="69"/>
      <c r="BJ289" s="69"/>
      <c r="BK289" s="69"/>
      <c r="BL289" s="69"/>
      <c r="BM289" s="69"/>
      <c r="BN289" s="69"/>
      <c r="BO289" s="69"/>
      <c r="BP289" s="69"/>
      <c r="BQ289" s="69"/>
      <c r="BR289" s="69"/>
      <c r="BS289" s="69"/>
      <c r="BT289" s="69"/>
      <c r="BU289" s="69"/>
    </row>
    <row r="290" spans="15:73" x14ac:dyDescent="0.2"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  <c r="BD290" s="69"/>
      <c r="BE290" s="69"/>
      <c r="BF290" s="69"/>
      <c r="BG290" s="69"/>
      <c r="BH290" s="69"/>
      <c r="BI290" s="69"/>
      <c r="BJ290" s="69"/>
      <c r="BK290" s="69"/>
      <c r="BL290" s="69"/>
      <c r="BM290" s="69"/>
      <c r="BN290" s="69"/>
      <c r="BO290" s="69"/>
      <c r="BP290" s="69"/>
      <c r="BQ290" s="69"/>
      <c r="BR290" s="69"/>
      <c r="BS290" s="69"/>
      <c r="BT290" s="69"/>
      <c r="BU290" s="69"/>
    </row>
    <row r="291" spans="15:73" x14ac:dyDescent="0.2"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  <c r="BD291" s="69"/>
      <c r="BE291" s="69"/>
      <c r="BF291" s="69"/>
      <c r="BG291" s="69"/>
      <c r="BH291" s="69"/>
      <c r="BI291" s="69"/>
      <c r="BJ291" s="69"/>
      <c r="BK291" s="69"/>
      <c r="BL291" s="69"/>
      <c r="BM291" s="69"/>
      <c r="BN291" s="69"/>
      <c r="BO291" s="69"/>
      <c r="BP291" s="69"/>
      <c r="BQ291" s="69"/>
      <c r="BR291" s="69"/>
      <c r="BS291" s="69"/>
      <c r="BT291" s="69"/>
      <c r="BU291" s="69"/>
    </row>
    <row r="292" spans="15:73" x14ac:dyDescent="0.2"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  <c r="BD292" s="69"/>
      <c r="BE292" s="69"/>
      <c r="BF292" s="69"/>
      <c r="BG292" s="69"/>
      <c r="BH292" s="69"/>
      <c r="BI292" s="69"/>
      <c r="BJ292" s="69"/>
      <c r="BK292" s="69"/>
      <c r="BL292" s="69"/>
      <c r="BM292" s="69"/>
      <c r="BN292" s="69"/>
      <c r="BO292" s="69"/>
      <c r="BP292" s="69"/>
      <c r="BQ292" s="69"/>
      <c r="BR292" s="69"/>
      <c r="BS292" s="69"/>
      <c r="BT292" s="69"/>
      <c r="BU292" s="69"/>
    </row>
    <row r="293" spans="15:73" x14ac:dyDescent="0.2"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  <c r="BD293" s="69"/>
      <c r="BE293" s="69"/>
      <c r="BF293" s="69"/>
      <c r="BG293" s="69"/>
      <c r="BH293" s="69"/>
      <c r="BI293" s="69"/>
      <c r="BJ293" s="69"/>
      <c r="BK293" s="69"/>
      <c r="BL293" s="69"/>
      <c r="BM293" s="69"/>
      <c r="BN293" s="69"/>
      <c r="BO293" s="69"/>
      <c r="BP293" s="69"/>
      <c r="BQ293" s="69"/>
      <c r="BR293" s="69"/>
      <c r="BS293" s="69"/>
      <c r="BT293" s="69"/>
      <c r="BU293" s="69"/>
    </row>
    <row r="294" spans="15:73" x14ac:dyDescent="0.2"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  <c r="BD294" s="69"/>
      <c r="BE294" s="69"/>
      <c r="BF294" s="69"/>
      <c r="BG294" s="69"/>
      <c r="BH294" s="69"/>
      <c r="BI294" s="69"/>
      <c r="BJ294" s="69"/>
      <c r="BK294" s="69"/>
      <c r="BL294" s="69"/>
      <c r="BM294" s="69"/>
      <c r="BN294" s="69"/>
      <c r="BO294" s="69"/>
      <c r="BP294" s="69"/>
      <c r="BQ294" s="69"/>
      <c r="BR294" s="69"/>
      <c r="BS294" s="69"/>
      <c r="BT294" s="69"/>
      <c r="BU294" s="69"/>
    </row>
    <row r="295" spans="15:73" x14ac:dyDescent="0.2"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69"/>
      <c r="BG295" s="69"/>
      <c r="BH295" s="69"/>
      <c r="BI295" s="69"/>
      <c r="BJ295" s="69"/>
      <c r="BK295" s="69"/>
      <c r="BL295" s="69"/>
      <c r="BM295" s="69"/>
      <c r="BN295" s="69"/>
      <c r="BO295" s="69"/>
      <c r="BP295" s="69"/>
      <c r="BQ295" s="69"/>
      <c r="BR295" s="69"/>
      <c r="BS295" s="69"/>
      <c r="BT295" s="69"/>
      <c r="BU295" s="69"/>
    </row>
    <row r="296" spans="15:73" x14ac:dyDescent="0.2"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69"/>
      <c r="BG296" s="69"/>
      <c r="BH296" s="69"/>
      <c r="BI296" s="69"/>
      <c r="BJ296" s="69"/>
      <c r="BK296" s="69"/>
      <c r="BL296" s="69"/>
      <c r="BM296" s="69"/>
      <c r="BN296" s="69"/>
      <c r="BO296" s="69"/>
      <c r="BP296" s="69"/>
      <c r="BQ296" s="69"/>
      <c r="BR296" s="69"/>
      <c r="BS296" s="69"/>
      <c r="BT296" s="69"/>
      <c r="BU296" s="69"/>
    </row>
    <row r="297" spans="15:73" x14ac:dyDescent="0.2"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69"/>
      <c r="BG297" s="69"/>
      <c r="BH297" s="69"/>
      <c r="BI297" s="69"/>
      <c r="BJ297" s="69"/>
      <c r="BK297" s="69"/>
      <c r="BL297" s="69"/>
      <c r="BM297" s="69"/>
      <c r="BN297" s="69"/>
      <c r="BO297" s="69"/>
      <c r="BP297" s="69"/>
      <c r="BQ297" s="69"/>
      <c r="BR297" s="69"/>
      <c r="BS297" s="69"/>
      <c r="BT297" s="69"/>
      <c r="BU297" s="69"/>
    </row>
    <row r="298" spans="15:73" x14ac:dyDescent="0.2"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69"/>
      <c r="BR298" s="69"/>
      <c r="BS298" s="69"/>
      <c r="BT298" s="69"/>
      <c r="BU298" s="69"/>
    </row>
    <row r="299" spans="15:73" x14ac:dyDescent="0.2"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69"/>
      <c r="BG299" s="69"/>
      <c r="BH299" s="69"/>
      <c r="BI299" s="69"/>
      <c r="BJ299" s="69"/>
      <c r="BK299" s="69"/>
      <c r="BL299" s="69"/>
      <c r="BM299" s="69"/>
      <c r="BN299" s="69"/>
      <c r="BO299" s="69"/>
      <c r="BP299" s="69"/>
      <c r="BQ299" s="69"/>
      <c r="BR299" s="69"/>
      <c r="BS299" s="69"/>
      <c r="BT299" s="69"/>
      <c r="BU299" s="69"/>
    </row>
    <row r="300" spans="15:73" x14ac:dyDescent="0.2"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  <c r="BD300" s="69"/>
      <c r="BE300" s="69"/>
      <c r="BF300" s="69"/>
      <c r="BG300" s="69"/>
      <c r="BH300" s="69"/>
      <c r="BI300" s="69"/>
      <c r="BJ300" s="69"/>
      <c r="BK300" s="69"/>
      <c r="BL300" s="69"/>
      <c r="BM300" s="69"/>
      <c r="BN300" s="69"/>
      <c r="BO300" s="69"/>
      <c r="BP300" s="69"/>
      <c r="BQ300" s="69"/>
      <c r="BR300" s="69"/>
      <c r="BS300" s="69"/>
      <c r="BT300" s="69"/>
      <c r="BU300" s="69"/>
    </row>
    <row r="301" spans="15:73" x14ac:dyDescent="0.2"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</row>
    <row r="302" spans="15:73" x14ac:dyDescent="0.2"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  <c r="BD302" s="69"/>
      <c r="BE302" s="69"/>
      <c r="BF302" s="69"/>
      <c r="BG302" s="69"/>
      <c r="BH302" s="69"/>
      <c r="BI302" s="69"/>
      <c r="BJ302" s="69"/>
      <c r="BK302" s="69"/>
      <c r="BL302" s="69"/>
      <c r="BM302" s="69"/>
      <c r="BN302" s="69"/>
      <c r="BO302" s="69"/>
      <c r="BP302" s="69"/>
      <c r="BQ302" s="69"/>
      <c r="BR302" s="69"/>
      <c r="BS302" s="69"/>
      <c r="BT302" s="69"/>
      <c r="BU302" s="69"/>
    </row>
    <row r="303" spans="15:73" x14ac:dyDescent="0.2"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69"/>
      <c r="BG303" s="69"/>
      <c r="BH303" s="69"/>
      <c r="BI303" s="69"/>
      <c r="BJ303" s="69"/>
      <c r="BK303" s="69"/>
      <c r="BL303" s="69"/>
      <c r="BM303" s="69"/>
      <c r="BN303" s="69"/>
      <c r="BO303" s="69"/>
      <c r="BP303" s="69"/>
      <c r="BQ303" s="69"/>
      <c r="BR303" s="69"/>
      <c r="BS303" s="69"/>
      <c r="BT303" s="69"/>
      <c r="BU303" s="69"/>
    </row>
    <row r="304" spans="15:73" x14ac:dyDescent="0.2"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  <c r="BD304" s="69"/>
      <c r="BE304" s="69"/>
      <c r="BF304" s="69"/>
      <c r="BG304" s="69"/>
      <c r="BH304" s="69"/>
      <c r="BI304" s="69"/>
      <c r="BJ304" s="69"/>
      <c r="BK304" s="69"/>
      <c r="BL304" s="69"/>
      <c r="BM304" s="69"/>
      <c r="BN304" s="69"/>
      <c r="BO304" s="69"/>
      <c r="BP304" s="69"/>
      <c r="BQ304" s="69"/>
      <c r="BR304" s="69"/>
      <c r="BS304" s="69"/>
      <c r="BT304" s="69"/>
      <c r="BU304" s="69"/>
    </row>
    <row r="305" spans="15:73" x14ac:dyDescent="0.2"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  <c r="BD305" s="69"/>
      <c r="BE305" s="69"/>
      <c r="BF305" s="69"/>
      <c r="BG305" s="69"/>
      <c r="BH305" s="69"/>
      <c r="BI305" s="69"/>
      <c r="BJ305" s="69"/>
      <c r="BK305" s="69"/>
      <c r="BL305" s="69"/>
      <c r="BM305" s="69"/>
      <c r="BN305" s="69"/>
      <c r="BO305" s="69"/>
      <c r="BP305" s="69"/>
      <c r="BQ305" s="69"/>
      <c r="BR305" s="69"/>
      <c r="BS305" s="69"/>
      <c r="BT305" s="69"/>
      <c r="BU305" s="69"/>
    </row>
    <row r="306" spans="15:73" x14ac:dyDescent="0.2"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  <c r="BD306" s="69"/>
      <c r="BE306" s="69"/>
      <c r="BF306" s="69"/>
      <c r="BG306" s="69"/>
      <c r="BH306" s="69"/>
      <c r="BI306" s="69"/>
      <c r="BJ306" s="69"/>
      <c r="BK306" s="69"/>
      <c r="BL306" s="69"/>
      <c r="BM306" s="69"/>
      <c r="BN306" s="69"/>
      <c r="BO306" s="69"/>
      <c r="BP306" s="69"/>
      <c r="BQ306" s="69"/>
      <c r="BR306" s="69"/>
      <c r="BS306" s="69"/>
      <c r="BT306" s="69"/>
      <c r="BU306" s="69"/>
    </row>
    <row r="307" spans="15:73" x14ac:dyDescent="0.2"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</row>
    <row r="308" spans="15:73" x14ac:dyDescent="0.2"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  <c r="BD308" s="69"/>
      <c r="BE308" s="69"/>
      <c r="BF308" s="69"/>
      <c r="BG308" s="69"/>
      <c r="BH308" s="69"/>
      <c r="BI308" s="69"/>
      <c r="BJ308" s="69"/>
      <c r="BK308" s="69"/>
      <c r="BL308" s="69"/>
      <c r="BM308" s="69"/>
      <c r="BN308" s="69"/>
      <c r="BO308" s="69"/>
      <c r="BP308" s="69"/>
      <c r="BQ308" s="69"/>
      <c r="BR308" s="69"/>
      <c r="BS308" s="69"/>
      <c r="BT308" s="69"/>
      <c r="BU308" s="69"/>
    </row>
    <row r="309" spans="15:73" x14ac:dyDescent="0.2"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  <c r="BD309" s="69"/>
      <c r="BE309" s="69"/>
      <c r="BF309" s="69"/>
      <c r="BG309" s="69"/>
      <c r="BH309" s="69"/>
      <c r="BI309" s="69"/>
      <c r="BJ309" s="69"/>
      <c r="BK309" s="69"/>
      <c r="BL309" s="69"/>
      <c r="BM309" s="69"/>
      <c r="BN309" s="69"/>
      <c r="BO309" s="69"/>
      <c r="BP309" s="69"/>
      <c r="BQ309" s="69"/>
      <c r="BR309" s="69"/>
      <c r="BS309" s="69"/>
      <c r="BT309" s="69"/>
      <c r="BU309" s="69"/>
    </row>
    <row r="310" spans="15:73" x14ac:dyDescent="0.2"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  <c r="BD310" s="69"/>
      <c r="BE310" s="69"/>
      <c r="BF310" s="69"/>
      <c r="BG310" s="69"/>
      <c r="BH310" s="69"/>
      <c r="BI310" s="69"/>
      <c r="BJ310" s="69"/>
      <c r="BK310" s="69"/>
      <c r="BL310" s="69"/>
      <c r="BM310" s="69"/>
      <c r="BN310" s="69"/>
      <c r="BO310" s="69"/>
      <c r="BP310" s="69"/>
      <c r="BQ310" s="69"/>
      <c r="BR310" s="69"/>
      <c r="BS310" s="69"/>
      <c r="BT310" s="69"/>
      <c r="BU310" s="69"/>
    </row>
    <row r="311" spans="15:73" x14ac:dyDescent="0.2"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9"/>
      <c r="BG311" s="69"/>
      <c r="BH311" s="69"/>
      <c r="BI311" s="69"/>
      <c r="BJ311" s="69"/>
      <c r="BK311" s="69"/>
      <c r="BL311" s="69"/>
      <c r="BM311" s="69"/>
      <c r="BN311" s="69"/>
      <c r="BO311" s="69"/>
      <c r="BP311" s="69"/>
      <c r="BQ311" s="69"/>
      <c r="BR311" s="69"/>
      <c r="BS311" s="69"/>
      <c r="BT311" s="69"/>
      <c r="BU311" s="69"/>
    </row>
    <row r="312" spans="15:73" x14ac:dyDescent="0.2"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69"/>
      <c r="BG312" s="69"/>
      <c r="BH312" s="69"/>
      <c r="BI312" s="69"/>
      <c r="BJ312" s="69"/>
      <c r="BK312" s="69"/>
      <c r="BL312" s="69"/>
      <c r="BM312" s="69"/>
      <c r="BN312" s="69"/>
      <c r="BO312" s="69"/>
      <c r="BP312" s="69"/>
      <c r="BQ312" s="69"/>
      <c r="BR312" s="69"/>
      <c r="BS312" s="69"/>
      <c r="BT312" s="69"/>
      <c r="BU312" s="69"/>
    </row>
    <row r="313" spans="15:73" x14ac:dyDescent="0.2"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69"/>
      <c r="BG313" s="69"/>
      <c r="BH313" s="69"/>
      <c r="BI313" s="69"/>
      <c r="BJ313" s="69"/>
      <c r="BK313" s="69"/>
      <c r="BL313" s="69"/>
      <c r="BM313" s="69"/>
      <c r="BN313" s="69"/>
      <c r="BO313" s="69"/>
      <c r="BP313" s="69"/>
      <c r="BQ313" s="69"/>
      <c r="BR313" s="69"/>
      <c r="BS313" s="69"/>
      <c r="BT313" s="69"/>
      <c r="BU313" s="69"/>
    </row>
    <row r="314" spans="15:73" x14ac:dyDescent="0.2"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69"/>
      <c r="BG314" s="69"/>
      <c r="BH314" s="69"/>
      <c r="BI314" s="69"/>
      <c r="BJ314" s="69"/>
      <c r="BK314" s="69"/>
      <c r="BL314" s="69"/>
      <c r="BM314" s="69"/>
      <c r="BN314" s="69"/>
      <c r="BO314" s="69"/>
      <c r="BP314" s="69"/>
      <c r="BQ314" s="69"/>
      <c r="BR314" s="69"/>
      <c r="BS314" s="69"/>
      <c r="BT314" s="69"/>
      <c r="BU314" s="69"/>
    </row>
    <row r="315" spans="15:73" x14ac:dyDescent="0.2"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9"/>
      <c r="BS315" s="69"/>
      <c r="BT315" s="69"/>
      <c r="BU315" s="69"/>
    </row>
    <row r="316" spans="15:73" x14ac:dyDescent="0.2"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</row>
    <row r="317" spans="15:73" x14ac:dyDescent="0.2"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9"/>
      <c r="BG317" s="69"/>
      <c r="BH317" s="69"/>
      <c r="BI317" s="69"/>
      <c r="BJ317" s="69"/>
      <c r="BK317" s="69"/>
      <c r="BL317" s="69"/>
      <c r="BM317" s="69"/>
      <c r="BN317" s="69"/>
      <c r="BO317" s="69"/>
      <c r="BP317" s="69"/>
      <c r="BQ317" s="69"/>
      <c r="BR317" s="69"/>
      <c r="BS317" s="69"/>
      <c r="BT317" s="69"/>
      <c r="BU317" s="69"/>
    </row>
    <row r="318" spans="15:73" x14ac:dyDescent="0.2"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  <c r="BD318" s="69"/>
      <c r="BE318" s="69"/>
      <c r="BF318" s="69"/>
      <c r="BG318" s="69"/>
      <c r="BH318" s="69"/>
      <c r="BI318" s="69"/>
      <c r="BJ318" s="69"/>
      <c r="BK318" s="69"/>
      <c r="BL318" s="69"/>
      <c r="BM318" s="69"/>
      <c r="BN318" s="69"/>
      <c r="BO318" s="69"/>
      <c r="BP318" s="69"/>
      <c r="BQ318" s="69"/>
      <c r="BR318" s="69"/>
      <c r="BS318" s="69"/>
      <c r="BT318" s="69"/>
      <c r="BU318" s="69"/>
    </row>
    <row r="319" spans="15:73" x14ac:dyDescent="0.2"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  <c r="BD319" s="69"/>
      <c r="BE319" s="69"/>
      <c r="BF319" s="69"/>
      <c r="BG319" s="69"/>
      <c r="BH319" s="69"/>
      <c r="BI319" s="69"/>
      <c r="BJ319" s="69"/>
      <c r="BK319" s="69"/>
      <c r="BL319" s="69"/>
      <c r="BM319" s="69"/>
      <c r="BN319" s="69"/>
      <c r="BO319" s="69"/>
      <c r="BP319" s="69"/>
      <c r="BQ319" s="69"/>
      <c r="BR319" s="69"/>
      <c r="BS319" s="69"/>
      <c r="BT319" s="69"/>
      <c r="BU319" s="69"/>
    </row>
    <row r="320" spans="15:73" x14ac:dyDescent="0.2"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  <c r="BD320" s="69"/>
      <c r="BE320" s="69"/>
      <c r="BF320" s="69"/>
      <c r="BG320" s="69"/>
      <c r="BH320" s="69"/>
      <c r="BI320" s="69"/>
      <c r="BJ320" s="69"/>
      <c r="BK320" s="69"/>
      <c r="BL320" s="69"/>
      <c r="BM320" s="69"/>
      <c r="BN320" s="69"/>
      <c r="BO320" s="69"/>
      <c r="BP320" s="69"/>
      <c r="BQ320" s="69"/>
      <c r="BR320" s="69"/>
      <c r="BS320" s="69"/>
      <c r="BT320" s="69"/>
      <c r="BU320" s="69"/>
    </row>
    <row r="321" spans="15:73" x14ac:dyDescent="0.2"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  <c r="BD321" s="69"/>
      <c r="BE321" s="69"/>
      <c r="BF321" s="69"/>
      <c r="BG321" s="69"/>
      <c r="BH321" s="69"/>
      <c r="BI321" s="69"/>
      <c r="BJ321" s="69"/>
      <c r="BK321" s="69"/>
      <c r="BL321" s="69"/>
      <c r="BM321" s="69"/>
      <c r="BN321" s="69"/>
      <c r="BO321" s="69"/>
      <c r="BP321" s="69"/>
      <c r="BQ321" s="69"/>
      <c r="BR321" s="69"/>
      <c r="BS321" s="69"/>
      <c r="BT321" s="69"/>
      <c r="BU321" s="69"/>
    </row>
    <row r="322" spans="15:73" x14ac:dyDescent="0.2"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</row>
    <row r="323" spans="15:73" x14ac:dyDescent="0.2"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69"/>
      <c r="BG323" s="69"/>
      <c r="BH323" s="69"/>
      <c r="BI323" s="69"/>
      <c r="BJ323" s="69"/>
      <c r="BK323" s="69"/>
      <c r="BL323" s="69"/>
      <c r="BM323" s="69"/>
      <c r="BN323" s="69"/>
      <c r="BO323" s="69"/>
      <c r="BP323" s="69"/>
      <c r="BQ323" s="69"/>
      <c r="BR323" s="69"/>
      <c r="BS323" s="69"/>
      <c r="BT323" s="69"/>
      <c r="BU323" s="69"/>
    </row>
    <row r="324" spans="15:73" x14ac:dyDescent="0.2"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9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9"/>
      <c r="BS324" s="69"/>
      <c r="BT324" s="69"/>
      <c r="BU324" s="69"/>
    </row>
    <row r="325" spans="15:73" x14ac:dyDescent="0.2"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  <c r="BD325" s="69"/>
      <c r="BE325" s="69"/>
      <c r="BF325" s="69"/>
      <c r="BG325" s="69"/>
      <c r="BH325" s="69"/>
      <c r="BI325" s="69"/>
      <c r="BJ325" s="69"/>
      <c r="BK325" s="69"/>
      <c r="BL325" s="69"/>
      <c r="BM325" s="69"/>
      <c r="BN325" s="69"/>
      <c r="BO325" s="69"/>
      <c r="BP325" s="69"/>
      <c r="BQ325" s="69"/>
      <c r="BR325" s="69"/>
      <c r="BS325" s="69"/>
      <c r="BT325" s="69"/>
      <c r="BU325" s="69"/>
    </row>
    <row r="326" spans="15:73" x14ac:dyDescent="0.2"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  <c r="BD326" s="69"/>
      <c r="BE326" s="69"/>
      <c r="BF326" s="69"/>
      <c r="BG326" s="69"/>
      <c r="BH326" s="69"/>
      <c r="BI326" s="69"/>
      <c r="BJ326" s="69"/>
      <c r="BK326" s="69"/>
      <c r="BL326" s="69"/>
      <c r="BM326" s="69"/>
      <c r="BN326" s="69"/>
      <c r="BO326" s="69"/>
      <c r="BP326" s="69"/>
      <c r="BQ326" s="69"/>
      <c r="BR326" s="69"/>
      <c r="BS326" s="69"/>
      <c r="BT326" s="69"/>
      <c r="BU326" s="69"/>
    </row>
    <row r="327" spans="15:73" x14ac:dyDescent="0.2"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  <c r="BD327" s="69"/>
      <c r="BE327" s="69"/>
      <c r="BF327" s="69"/>
      <c r="BG327" s="69"/>
      <c r="BH327" s="69"/>
      <c r="BI327" s="69"/>
      <c r="BJ327" s="69"/>
      <c r="BK327" s="69"/>
      <c r="BL327" s="69"/>
      <c r="BM327" s="69"/>
      <c r="BN327" s="69"/>
      <c r="BO327" s="69"/>
      <c r="BP327" s="69"/>
      <c r="BQ327" s="69"/>
      <c r="BR327" s="69"/>
      <c r="BS327" s="69"/>
      <c r="BT327" s="69"/>
      <c r="BU327" s="69"/>
    </row>
    <row r="328" spans="15:73" x14ac:dyDescent="0.2"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</row>
    <row r="329" spans="15:73" x14ac:dyDescent="0.2"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69"/>
      <c r="BG329" s="69"/>
      <c r="BH329" s="69"/>
      <c r="BI329" s="69"/>
      <c r="BJ329" s="69"/>
      <c r="BK329" s="69"/>
      <c r="BL329" s="69"/>
      <c r="BM329" s="69"/>
      <c r="BN329" s="69"/>
      <c r="BO329" s="69"/>
      <c r="BP329" s="69"/>
      <c r="BQ329" s="69"/>
      <c r="BR329" s="69"/>
      <c r="BS329" s="69"/>
      <c r="BT329" s="69"/>
      <c r="BU329" s="69"/>
    </row>
    <row r="330" spans="15:73" x14ac:dyDescent="0.2"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  <c r="BT330" s="69"/>
      <c r="BU330" s="69"/>
    </row>
    <row r="331" spans="15:73" x14ac:dyDescent="0.2"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9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9"/>
      <c r="BS331" s="69"/>
      <c r="BT331" s="69"/>
      <c r="BU331" s="69"/>
    </row>
    <row r="332" spans="15:73" x14ac:dyDescent="0.2"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69"/>
      <c r="BG332" s="69"/>
      <c r="BH332" s="69"/>
      <c r="BI332" s="69"/>
      <c r="BJ332" s="69"/>
      <c r="BK332" s="69"/>
      <c r="BL332" s="69"/>
      <c r="BM332" s="69"/>
      <c r="BN332" s="69"/>
      <c r="BO332" s="69"/>
      <c r="BP332" s="69"/>
      <c r="BQ332" s="69"/>
      <c r="BR332" s="69"/>
      <c r="BS332" s="69"/>
      <c r="BT332" s="69"/>
      <c r="BU332" s="69"/>
    </row>
    <row r="333" spans="15:73" x14ac:dyDescent="0.2"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69"/>
      <c r="BG333" s="69"/>
      <c r="BH333" s="69"/>
      <c r="BI333" s="69"/>
      <c r="BJ333" s="69"/>
      <c r="BK333" s="69"/>
      <c r="BL333" s="69"/>
      <c r="BM333" s="69"/>
      <c r="BN333" s="69"/>
      <c r="BO333" s="69"/>
      <c r="BP333" s="69"/>
      <c r="BQ333" s="69"/>
      <c r="BR333" s="69"/>
      <c r="BS333" s="69"/>
      <c r="BT333" s="69"/>
      <c r="BU333" s="69"/>
    </row>
    <row r="334" spans="15:73" x14ac:dyDescent="0.2"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  <c r="BD334" s="69"/>
      <c r="BE334" s="69"/>
      <c r="BF334" s="69"/>
      <c r="BG334" s="69"/>
      <c r="BH334" s="69"/>
      <c r="BI334" s="69"/>
      <c r="BJ334" s="69"/>
      <c r="BK334" s="69"/>
      <c r="BL334" s="69"/>
      <c r="BM334" s="69"/>
      <c r="BN334" s="69"/>
      <c r="BO334" s="69"/>
      <c r="BP334" s="69"/>
      <c r="BQ334" s="69"/>
      <c r="BR334" s="69"/>
      <c r="BS334" s="69"/>
      <c r="BT334" s="69"/>
      <c r="BU334" s="69"/>
    </row>
    <row r="335" spans="15:73" x14ac:dyDescent="0.2"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  <c r="BD335" s="69"/>
      <c r="BE335" s="69"/>
      <c r="BF335" s="69"/>
      <c r="BG335" s="69"/>
      <c r="BH335" s="69"/>
      <c r="BI335" s="69"/>
      <c r="BJ335" s="69"/>
      <c r="BK335" s="69"/>
      <c r="BL335" s="69"/>
      <c r="BM335" s="69"/>
      <c r="BN335" s="69"/>
      <c r="BO335" s="69"/>
      <c r="BP335" s="69"/>
      <c r="BQ335" s="69"/>
      <c r="BR335" s="69"/>
      <c r="BS335" s="69"/>
      <c r="BT335" s="69"/>
      <c r="BU335" s="69"/>
    </row>
    <row r="336" spans="15:73" x14ac:dyDescent="0.2"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69"/>
      <c r="BG336" s="69"/>
      <c r="BH336" s="69"/>
      <c r="BI336" s="69"/>
      <c r="BJ336" s="69"/>
      <c r="BK336" s="69"/>
      <c r="BL336" s="69"/>
      <c r="BM336" s="69"/>
      <c r="BN336" s="69"/>
      <c r="BO336" s="69"/>
      <c r="BP336" s="69"/>
      <c r="BQ336" s="69"/>
      <c r="BR336" s="69"/>
      <c r="BS336" s="69"/>
      <c r="BT336" s="69"/>
      <c r="BU336" s="69"/>
    </row>
    <row r="337" spans="15:73" x14ac:dyDescent="0.2"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9"/>
      <c r="BG337" s="69"/>
      <c r="BH337" s="69"/>
      <c r="BI337" s="69"/>
      <c r="BJ337" s="69"/>
      <c r="BK337" s="69"/>
      <c r="BL337" s="69"/>
      <c r="BM337" s="69"/>
      <c r="BN337" s="69"/>
      <c r="BO337" s="69"/>
      <c r="BP337" s="69"/>
      <c r="BQ337" s="69"/>
      <c r="BR337" s="69"/>
      <c r="BS337" s="69"/>
      <c r="BT337" s="69"/>
      <c r="BU337" s="69"/>
    </row>
    <row r="338" spans="15:73" x14ac:dyDescent="0.2"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  <c r="BD338" s="69"/>
      <c r="BE338" s="69"/>
      <c r="BF338" s="69"/>
      <c r="BG338" s="69"/>
      <c r="BH338" s="69"/>
      <c r="BI338" s="69"/>
      <c r="BJ338" s="69"/>
      <c r="BK338" s="69"/>
      <c r="BL338" s="69"/>
      <c r="BM338" s="69"/>
      <c r="BN338" s="69"/>
      <c r="BO338" s="69"/>
      <c r="BP338" s="69"/>
      <c r="BQ338" s="69"/>
      <c r="BR338" s="69"/>
      <c r="BS338" s="69"/>
      <c r="BT338" s="69"/>
      <c r="BU338" s="69"/>
    </row>
    <row r="339" spans="15:73" x14ac:dyDescent="0.2"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  <c r="BD339" s="69"/>
      <c r="BE339" s="69"/>
      <c r="BF339" s="69"/>
      <c r="BG339" s="69"/>
      <c r="BH339" s="69"/>
      <c r="BI339" s="69"/>
      <c r="BJ339" s="69"/>
      <c r="BK339" s="69"/>
      <c r="BL339" s="69"/>
      <c r="BM339" s="69"/>
      <c r="BN339" s="69"/>
      <c r="BO339" s="69"/>
      <c r="BP339" s="69"/>
      <c r="BQ339" s="69"/>
      <c r="BR339" s="69"/>
      <c r="BS339" s="69"/>
      <c r="BT339" s="69"/>
      <c r="BU339" s="69"/>
    </row>
    <row r="340" spans="15:73" x14ac:dyDescent="0.2"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  <c r="BD340" s="69"/>
      <c r="BE340" s="69"/>
      <c r="BF340" s="69"/>
      <c r="BG340" s="69"/>
      <c r="BH340" s="69"/>
      <c r="BI340" s="69"/>
      <c r="BJ340" s="69"/>
      <c r="BK340" s="69"/>
      <c r="BL340" s="69"/>
      <c r="BM340" s="69"/>
      <c r="BN340" s="69"/>
      <c r="BO340" s="69"/>
      <c r="BP340" s="69"/>
      <c r="BQ340" s="69"/>
      <c r="BR340" s="69"/>
      <c r="BS340" s="69"/>
      <c r="BT340" s="69"/>
      <c r="BU340" s="69"/>
    </row>
    <row r="341" spans="15:73" x14ac:dyDescent="0.2"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  <c r="BD341" s="69"/>
      <c r="BE341" s="69"/>
      <c r="BF341" s="69"/>
      <c r="BG341" s="69"/>
      <c r="BH341" s="69"/>
      <c r="BI341" s="69"/>
      <c r="BJ341" s="69"/>
      <c r="BK341" s="69"/>
      <c r="BL341" s="69"/>
      <c r="BM341" s="69"/>
      <c r="BN341" s="69"/>
      <c r="BO341" s="69"/>
      <c r="BP341" s="69"/>
      <c r="BQ341" s="69"/>
      <c r="BR341" s="69"/>
      <c r="BS341" s="69"/>
      <c r="BT341" s="69"/>
      <c r="BU341" s="69"/>
    </row>
    <row r="342" spans="15:73" x14ac:dyDescent="0.2"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  <c r="BD342" s="69"/>
      <c r="BE342" s="69"/>
      <c r="BF342" s="69"/>
      <c r="BG342" s="69"/>
      <c r="BH342" s="69"/>
      <c r="BI342" s="69"/>
      <c r="BJ342" s="69"/>
      <c r="BK342" s="69"/>
      <c r="BL342" s="69"/>
      <c r="BM342" s="69"/>
      <c r="BN342" s="69"/>
      <c r="BO342" s="69"/>
      <c r="BP342" s="69"/>
      <c r="BQ342" s="69"/>
      <c r="BR342" s="69"/>
      <c r="BS342" s="69"/>
      <c r="BT342" s="69"/>
      <c r="BU342" s="69"/>
    </row>
    <row r="343" spans="15:73" x14ac:dyDescent="0.2"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  <c r="BD343" s="69"/>
      <c r="BE343" s="69"/>
      <c r="BF343" s="69"/>
      <c r="BG343" s="69"/>
      <c r="BH343" s="69"/>
      <c r="BI343" s="69"/>
      <c r="BJ343" s="69"/>
      <c r="BK343" s="69"/>
      <c r="BL343" s="69"/>
      <c r="BM343" s="69"/>
      <c r="BN343" s="69"/>
      <c r="BO343" s="69"/>
      <c r="BP343" s="69"/>
      <c r="BQ343" s="69"/>
      <c r="BR343" s="69"/>
      <c r="BS343" s="69"/>
      <c r="BT343" s="69"/>
      <c r="BU343" s="69"/>
    </row>
    <row r="344" spans="15:73" x14ac:dyDescent="0.2"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  <c r="BD344" s="69"/>
      <c r="BE344" s="69"/>
      <c r="BF344" s="69"/>
      <c r="BG344" s="69"/>
      <c r="BH344" s="69"/>
      <c r="BI344" s="69"/>
      <c r="BJ344" s="69"/>
      <c r="BK344" s="69"/>
      <c r="BL344" s="69"/>
      <c r="BM344" s="69"/>
      <c r="BN344" s="69"/>
      <c r="BO344" s="69"/>
      <c r="BP344" s="69"/>
      <c r="BQ344" s="69"/>
      <c r="BR344" s="69"/>
      <c r="BS344" s="69"/>
      <c r="BT344" s="69"/>
      <c r="BU344" s="69"/>
    </row>
    <row r="345" spans="15:73" x14ac:dyDescent="0.2"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69"/>
      <c r="BG345" s="69"/>
      <c r="BH345" s="69"/>
      <c r="BI345" s="69"/>
      <c r="BJ345" s="69"/>
      <c r="BK345" s="69"/>
      <c r="BL345" s="69"/>
      <c r="BM345" s="69"/>
      <c r="BN345" s="69"/>
      <c r="BO345" s="69"/>
      <c r="BP345" s="69"/>
      <c r="BQ345" s="69"/>
      <c r="BR345" s="69"/>
      <c r="BS345" s="69"/>
      <c r="BT345" s="69"/>
      <c r="BU345" s="69"/>
    </row>
    <row r="346" spans="15:73" x14ac:dyDescent="0.2"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  <c r="BD346" s="69"/>
      <c r="BE346" s="69"/>
      <c r="BF346" s="69"/>
      <c r="BG346" s="69"/>
      <c r="BH346" s="69"/>
      <c r="BI346" s="69"/>
      <c r="BJ346" s="69"/>
      <c r="BK346" s="69"/>
      <c r="BL346" s="69"/>
      <c r="BM346" s="69"/>
      <c r="BN346" s="69"/>
      <c r="BO346" s="69"/>
      <c r="BP346" s="69"/>
      <c r="BQ346" s="69"/>
      <c r="BR346" s="69"/>
      <c r="BS346" s="69"/>
      <c r="BT346" s="69"/>
      <c r="BU346" s="69"/>
    </row>
    <row r="347" spans="15:73" x14ac:dyDescent="0.2"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69"/>
      <c r="BG347" s="69"/>
      <c r="BH347" s="69"/>
      <c r="BI347" s="69"/>
      <c r="BJ347" s="69"/>
      <c r="BK347" s="69"/>
      <c r="BL347" s="69"/>
      <c r="BM347" s="69"/>
      <c r="BN347" s="69"/>
      <c r="BO347" s="69"/>
      <c r="BP347" s="69"/>
      <c r="BQ347" s="69"/>
      <c r="BR347" s="69"/>
      <c r="BS347" s="69"/>
      <c r="BT347" s="69"/>
      <c r="BU347" s="69"/>
    </row>
    <row r="348" spans="15:73" x14ac:dyDescent="0.2"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9"/>
      <c r="BG348" s="69"/>
      <c r="BH348" s="69"/>
      <c r="BI348" s="69"/>
      <c r="BJ348" s="69"/>
      <c r="BK348" s="69"/>
      <c r="BL348" s="69"/>
      <c r="BM348" s="69"/>
      <c r="BN348" s="69"/>
      <c r="BO348" s="69"/>
      <c r="BP348" s="69"/>
      <c r="BQ348" s="69"/>
      <c r="BR348" s="69"/>
      <c r="BS348" s="69"/>
      <c r="BT348" s="69"/>
      <c r="BU348" s="69"/>
    </row>
    <row r="349" spans="15:73" x14ac:dyDescent="0.2"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  <c r="BD349" s="69"/>
      <c r="BE349" s="69"/>
      <c r="BF349" s="69"/>
      <c r="BG349" s="69"/>
      <c r="BH349" s="69"/>
      <c r="BI349" s="69"/>
      <c r="BJ349" s="69"/>
      <c r="BK349" s="69"/>
      <c r="BL349" s="69"/>
      <c r="BM349" s="69"/>
      <c r="BN349" s="69"/>
      <c r="BO349" s="69"/>
      <c r="BP349" s="69"/>
      <c r="BQ349" s="69"/>
      <c r="BR349" s="69"/>
      <c r="BS349" s="69"/>
      <c r="BT349" s="69"/>
      <c r="BU349" s="69"/>
    </row>
    <row r="350" spans="15:73" x14ac:dyDescent="0.2"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</row>
    <row r="351" spans="15:73" x14ac:dyDescent="0.2"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69"/>
      <c r="BG351" s="69"/>
      <c r="BH351" s="69"/>
      <c r="BI351" s="69"/>
      <c r="BJ351" s="69"/>
      <c r="BK351" s="69"/>
      <c r="BL351" s="69"/>
      <c r="BM351" s="69"/>
      <c r="BN351" s="69"/>
      <c r="BO351" s="69"/>
      <c r="BP351" s="69"/>
      <c r="BQ351" s="69"/>
      <c r="BR351" s="69"/>
      <c r="BS351" s="69"/>
      <c r="BT351" s="69"/>
      <c r="BU351" s="69"/>
    </row>
    <row r="352" spans="15:73" x14ac:dyDescent="0.2"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  <c r="BD352" s="69"/>
      <c r="BE352" s="69"/>
      <c r="BF352" s="69"/>
      <c r="BG352" s="69"/>
      <c r="BH352" s="69"/>
      <c r="BI352" s="69"/>
      <c r="BJ352" s="69"/>
      <c r="BK352" s="69"/>
      <c r="BL352" s="69"/>
      <c r="BM352" s="69"/>
      <c r="BN352" s="69"/>
      <c r="BO352" s="69"/>
      <c r="BP352" s="69"/>
      <c r="BQ352" s="69"/>
      <c r="BR352" s="69"/>
      <c r="BS352" s="69"/>
      <c r="BT352" s="69"/>
      <c r="BU352" s="69"/>
    </row>
    <row r="353" spans="15:73" x14ac:dyDescent="0.2"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  <c r="BD353" s="69"/>
      <c r="BE353" s="69"/>
      <c r="BF353" s="69"/>
      <c r="BG353" s="69"/>
      <c r="BH353" s="69"/>
      <c r="BI353" s="69"/>
      <c r="BJ353" s="69"/>
      <c r="BK353" s="69"/>
      <c r="BL353" s="69"/>
      <c r="BM353" s="69"/>
      <c r="BN353" s="69"/>
      <c r="BO353" s="69"/>
      <c r="BP353" s="69"/>
      <c r="BQ353" s="69"/>
      <c r="BR353" s="69"/>
      <c r="BS353" s="69"/>
      <c r="BT353" s="69"/>
      <c r="BU353" s="69"/>
    </row>
    <row r="354" spans="15:73" x14ac:dyDescent="0.2"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69"/>
      <c r="BG354" s="69"/>
      <c r="BH354" s="69"/>
      <c r="BI354" s="69"/>
      <c r="BJ354" s="69"/>
      <c r="BK354" s="69"/>
      <c r="BL354" s="69"/>
      <c r="BM354" s="69"/>
      <c r="BN354" s="69"/>
      <c r="BO354" s="69"/>
      <c r="BP354" s="69"/>
      <c r="BQ354" s="69"/>
      <c r="BR354" s="69"/>
      <c r="BS354" s="69"/>
      <c r="BT354" s="69"/>
      <c r="BU354" s="69"/>
    </row>
    <row r="355" spans="15:73" x14ac:dyDescent="0.2"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  <c r="AV355" s="69"/>
      <c r="AW355" s="69"/>
      <c r="AX355" s="69"/>
      <c r="AY355" s="69"/>
      <c r="AZ355" s="69"/>
      <c r="BA355" s="69"/>
      <c r="BB355" s="69"/>
      <c r="BC355" s="69"/>
      <c r="BD355" s="69"/>
      <c r="BE355" s="69"/>
      <c r="BF355" s="69"/>
      <c r="BG355" s="69"/>
      <c r="BH355" s="69"/>
      <c r="BI355" s="69"/>
      <c r="BJ355" s="69"/>
      <c r="BK355" s="69"/>
      <c r="BL355" s="69"/>
      <c r="BM355" s="69"/>
      <c r="BN355" s="69"/>
      <c r="BO355" s="69"/>
      <c r="BP355" s="69"/>
      <c r="BQ355" s="69"/>
      <c r="BR355" s="69"/>
      <c r="BS355" s="69"/>
      <c r="BT355" s="69"/>
      <c r="BU355" s="69"/>
    </row>
    <row r="356" spans="15:73" x14ac:dyDescent="0.2"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69"/>
      <c r="BG356" s="69"/>
      <c r="BH356" s="69"/>
      <c r="BI356" s="69"/>
      <c r="BJ356" s="69"/>
      <c r="BK356" s="69"/>
      <c r="BL356" s="69"/>
      <c r="BM356" s="69"/>
      <c r="BN356" s="69"/>
      <c r="BO356" s="69"/>
      <c r="BP356" s="69"/>
      <c r="BQ356" s="69"/>
      <c r="BR356" s="69"/>
      <c r="BS356" s="69"/>
      <c r="BT356" s="69"/>
      <c r="BU356" s="69"/>
    </row>
    <row r="357" spans="15:73" x14ac:dyDescent="0.2"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  <c r="AV357" s="69"/>
      <c r="AW357" s="69"/>
      <c r="AX357" s="69"/>
      <c r="AY357" s="69"/>
      <c r="AZ357" s="69"/>
      <c r="BA357" s="69"/>
      <c r="BB357" s="69"/>
      <c r="BC357" s="69"/>
      <c r="BD357" s="69"/>
      <c r="BE357" s="69"/>
      <c r="BF357" s="69"/>
      <c r="BG357" s="69"/>
      <c r="BH357" s="69"/>
      <c r="BI357" s="69"/>
      <c r="BJ357" s="69"/>
      <c r="BK357" s="69"/>
      <c r="BL357" s="69"/>
      <c r="BM357" s="69"/>
      <c r="BN357" s="69"/>
      <c r="BO357" s="69"/>
      <c r="BP357" s="69"/>
      <c r="BQ357" s="69"/>
      <c r="BR357" s="69"/>
      <c r="BS357" s="69"/>
      <c r="BT357" s="69"/>
      <c r="BU357" s="69"/>
    </row>
    <row r="358" spans="15:73" x14ac:dyDescent="0.2"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69"/>
      <c r="BG358" s="69"/>
      <c r="BH358" s="69"/>
      <c r="BI358" s="69"/>
      <c r="BJ358" s="69"/>
      <c r="BK358" s="69"/>
      <c r="BL358" s="69"/>
      <c r="BM358" s="69"/>
      <c r="BN358" s="69"/>
      <c r="BO358" s="69"/>
      <c r="BP358" s="69"/>
      <c r="BQ358" s="69"/>
      <c r="BR358" s="69"/>
      <c r="BS358" s="69"/>
      <c r="BT358" s="69"/>
      <c r="BU358" s="69"/>
    </row>
    <row r="359" spans="15:73" x14ac:dyDescent="0.2"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69"/>
      <c r="BG359" s="69"/>
      <c r="BH359" s="69"/>
      <c r="BI359" s="69"/>
      <c r="BJ359" s="69"/>
      <c r="BK359" s="69"/>
      <c r="BL359" s="69"/>
      <c r="BM359" s="69"/>
      <c r="BN359" s="69"/>
      <c r="BO359" s="69"/>
      <c r="BP359" s="69"/>
      <c r="BQ359" s="69"/>
      <c r="BR359" s="69"/>
      <c r="BS359" s="69"/>
      <c r="BT359" s="69"/>
      <c r="BU359" s="69"/>
    </row>
    <row r="360" spans="15:73" x14ac:dyDescent="0.2"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69"/>
      <c r="BG360" s="69"/>
      <c r="BH360" s="69"/>
      <c r="BI360" s="69"/>
      <c r="BJ360" s="69"/>
      <c r="BK360" s="69"/>
      <c r="BL360" s="69"/>
      <c r="BM360" s="69"/>
      <c r="BN360" s="69"/>
      <c r="BO360" s="69"/>
      <c r="BP360" s="69"/>
      <c r="BQ360" s="69"/>
      <c r="BR360" s="69"/>
      <c r="BS360" s="69"/>
      <c r="BT360" s="69"/>
      <c r="BU360" s="69"/>
    </row>
    <row r="361" spans="15:73" x14ac:dyDescent="0.2"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  <c r="AV361" s="69"/>
      <c r="AW361" s="69"/>
      <c r="AX361" s="69"/>
      <c r="AY361" s="69"/>
      <c r="AZ361" s="69"/>
      <c r="BA361" s="69"/>
      <c r="BB361" s="69"/>
      <c r="BC361" s="69"/>
      <c r="BD361" s="69"/>
      <c r="BE361" s="69"/>
      <c r="BF361" s="69"/>
      <c r="BG361" s="69"/>
      <c r="BH361" s="69"/>
      <c r="BI361" s="69"/>
      <c r="BJ361" s="69"/>
      <c r="BK361" s="69"/>
      <c r="BL361" s="69"/>
      <c r="BM361" s="69"/>
      <c r="BN361" s="69"/>
      <c r="BO361" s="69"/>
      <c r="BP361" s="69"/>
      <c r="BQ361" s="69"/>
      <c r="BR361" s="69"/>
      <c r="BS361" s="69"/>
      <c r="BT361" s="69"/>
      <c r="BU361" s="69"/>
    </row>
    <row r="362" spans="15:73" x14ac:dyDescent="0.2"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</row>
    <row r="363" spans="15:73" x14ac:dyDescent="0.2"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69"/>
      <c r="BG363" s="69"/>
      <c r="BH363" s="69"/>
      <c r="BI363" s="69"/>
      <c r="BJ363" s="69"/>
      <c r="BK363" s="69"/>
      <c r="BL363" s="69"/>
      <c r="BM363" s="69"/>
      <c r="BN363" s="69"/>
      <c r="BO363" s="69"/>
      <c r="BP363" s="69"/>
      <c r="BQ363" s="69"/>
      <c r="BR363" s="69"/>
      <c r="BS363" s="69"/>
      <c r="BT363" s="69"/>
      <c r="BU363" s="69"/>
    </row>
    <row r="364" spans="15:73" x14ac:dyDescent="0.2"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9"/>
      <c r="BG364" s="69"/>
      <c r="BH364" s="69"/>
      <c r="BI364" s="69"/>
      <c r="BJ364" s="69"/>
      <c r="BK364" s="69"/>
      <c r="BL364" s="69"/>
      <c r="BM364" s="69"/>
      <c r="BN364" s="69"/>
      <c r="BO364" s="69"/>
      <c r="BP364" s="69"/>
      <c r="BQ364" s="69"/>
      <c r="BR364" s="69"/>
      <c r="BS364" s="69"/>
      <c r="BT364" s="69"/>
      <c r="BU364" s="69"/>
    </row>
    <row r="365" spans="15:73" x14ac:dyDescent="0.2"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69"/>
      <c r="BG365" s="69"/>
      <c r="BH365" s="69"/>
      <c r="BI365" s="69"/>
      <c r="BJ365" s="69"/>
      <c r="BK365" s="69"/>
      <c r="BL365" s="69"/>
      <c r="BM365" s="69"/>
      <c r="BN365" s="69"/>
      <c r="BO365" s="69"/>
      <c r="BP365" s="69"/>
      <c r="BQ365" s="69"/>
      <c r="BR365" s="69"/>
      <c r="BS365" s="69"/>
      <c r="BT365" s="69"/>
      <c r="BU365" s="69"/>
    </row>
    <row r="366" spans="15:73" x14ac:dyDescent="0.2"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  <c r="AV366" s="69"/>
      <c r="AW366" s="69"/>
      <c r="AX366" s="69"/>
      <c r="AY366" s="69"/>
      <c r="AZ366" s="69"/>
      <c r="BA366" s="69"/>
      <c r="BB366" s="69"/>
      <c r="BC366" s="69"/>
      <c r="BD366" s="69"/>
      <c r="BE366" s="69"/>
      <c r="BF366" s="69"/>
      <c r="BG366" s="69"/>
      <c r="BH366" s="69"/>
      <c r="BI366" s="69"/>
      <c r="BJ366" s="69"/>
      <c r="BK366" s="69"/>
      <c r="BL366" s="69"/>
      <c r="BM366" s="69"/>
      <c r="BN366" s="69"/>
      <c r="BO366" s="69"/>
      <c r="BP366" s="69"/>
      <c r="BQ366" s="69"/>
      <c r="BR366" s="69"/>
      <c r="BS366" s="69"/>
      <c r="BT366" s="69"/>
      <c r="BU366" s="69"/>
    </row>
    <row r="367" spans="15:73" x14ac:dyDescent="0.2"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69"/>
      <c r="BG367" s="69"/>
      <c r="BH367" s="69"/>
      <c r="BI367" s="69"/>
      <c r="BJ367" s="69"/>
      <c r="BK367" s="69"/>
      <c r="BL367" s="69"/>
      <c r="BM367" s="69"/>
      <c r="BN367" s="69"/>
      <c r="BO367" s="69"/>
      <c r="BP367" s="69"/>
      <c r="BQ367" s="69"/>
      <c r="BR367" s="69"/>
      <c r="BS367" s="69"/>
      <c r="BT367" s="69"/>
      <c r="BU367" s="69"/>
    </row>
    <row r="368" spans="15:73" x14ac:dyDescent="0.2"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  <c r="BL368" s="69"/>
      <c r="BM368" s="69"/>
      <c r="BN368" s="69"/>
      <c r="BO368" s="69"/>
      <c r="BP368" s="69"/>
      <c r="BQ368" s="69"/>
      <c r="BR368" s="69"/>
      <c r="BS368" s="69"/>
      <c r="BT368" s="69"/>
      <c r="BU368" s="69"/>
    </row>
    <row r="369" spans="15:73" x14ac:dyDescent="0.2"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69"/>
      <c r="BG369" s="69"/>
      <c r="BH369" s="69"/>
      <c r="BI369" s="69"/>
      <c r="BJ369" s="69"/>
      <c r="BK369" s="69"/>
      <c r="BL369" s="69"/>
      <c r="BM369" s="69"/>
      <c r="BN369" s="69"/>
      <c r="BO369" s="69"/>
      <c r="BP369" s="69"/>
      <c r="BQ369" s="69"/>
      <c r="BR369" s="69"/>
      <c r="BS369" s="69"/>
      <c r="BT369" s="69"/>
      <c r="BU369" s="69"/>
    </row>
    <row r="370" spans="15:73" x14ac:dyDescent="0.2"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  <c r="AV370" s="69"/>
      <c r="AW370" s="69"/>
      <c r="AX370" s="69"/>
      <c r="AY370" s="69"/>
      <c r="AZ370" s="69"/>
      <c r="BA370" s="69"/>
      <c r="BB370" s="69"/>
      <c r="BC370" s="69"/>
      <c r="BD370" s="69"/>
      <c r="BE370" s="69"/>
      <c r="BF370" s="69"/>
      <c r="BG370" s="69"/>
      <c r="BH370" s="69"/>
      <c r="BI370" s="69"/>
      <c r="BJ370" s="69"/>
      <c r="BK370" s="69"/>
      <c r="BL370" s="69"/>
      <c r="BM370" s="69"/>
      <c r="BN370" s="69"/>
      <c r="BO370" s="69"/>
      <c r="BP370" s="69"/>
      <c r="BQ370" s="69"/>
      <c r="BR370" s="69"/>
      <c r="BS370" s="69"/>
      <c r="BT370" s="69"/>
      <c r="BU370" s="69"/>
    </row>
    <row r="371" spans="15:73" x14ac:dyDescent="0.2"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69"/>
      <c r="BG371" s="69"/>
      <c r="BH371" s="69"/>
      <c r="BI371" s="69"/>
      <c r="BJ371" s="69"/>
      <c r="BK371" s="69"/>
      <c r="BL371" s="69"/>
      <c r="BM371" s="69"/>
      <c r="BN371" s="69"/>
      <c r="BO371" s="69"/>
      <c r="BP371" s="69"/>
      <c r="BQ371" s="69"/>
      <c r="BR371" s="69"/>
      <c r="BS371" s="69"/>
      <c r="BT371" s="69"/>
      <c r="BU371" s="69"/>
    </row>
    <row r="372" spans="15:73" x14ac:dyDescent="0.2"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69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9"/>
      <c r="BS372" s="69"/>
      <c r="BT372" s="69"/>
      <c r="BU372" s="69"/>
    </row>
    <row r="373" spans="15:73" x14ac:dyDescent="0.2"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69"/>
      <c r="BG373" s="69"/>
      <c r="BH373" s="69"/>
      <c r="BI373" s="69"/>
      <c r="BJ373" s="69"/>
      <c r="BK373" s="69"/>
      <c r="BL373" s="69"/>
      <c r="BM373" s="69"/>
      <c r="BN373" s="69"/>
      <c r="BO373" s="69"/>
      <c r="BP373" s="69"/>
      <c r="BQ373" s="69"/>
      <c r="BR373" s="69"/>
      <c r="BS373" s="69"/>
      <c r="BT373" s="69"/>
      <c r="BU373" s="69"/>
    </row>
    <row r="374" spans="15:73" x14ac:dyDescent="0.2"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69"/>
      <c r="BG374" s="69"/>
      <c r="BH374" s="69"/>
      <c r="BI374" s="69"/>
      <c r="BJ374" s="69"/>
      <c r="BK374" s="69"/>
      <c r="BL374" s="69"/>
      <c r="BM374" s="69"/>
      <c r="BN374" s="69"/>
      <c r="BO374" s="69"/>
      <c r="BP374" s="69"/>
      <c r="BQ374" s="69"/>
      <c r="BR374" s="69"/>
      <c r="BS374" s="69"/>
      <c r="BT374" s="69"/>
      <c r="BU374" s="69"/>
    </row>
    <row r="375" spans="15:73" x14ac:dyDescent="0.2"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69"/>
      <c r="BG375" s="69"/>
      <c r="BH375" s="69"/>
      <c r="BI375" s="69"/>
      <c r="BJ375" s="69"/>
      <c r="BK375" s="69"/>
      <c r="BL375" s="69"/>
      <c r="BM375" s="69"/>
      <c r="BN375" s="69"/>
      <c r="BO375" s="69"/>
      <c r="BP375" s="69"/>
      <c r="BQ375" s="69"/>
      <c r="BR375" s="69"/>
      <c r="BS375" s="69"/>
      <c r="BT375" s="69"/>
      <c r="BU375" s="69"/>
    </row>
    <row r="376" spans="15:73" x14ac:dyDescent="0.2"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69"/>
      <c r="BG376" s="69"/>
      <c r="BH376" s="69"/>
      <c r="BI376" s="69"/>
      <c r="BJ376" s="69"/>
      <c r="BK376" s="69"/>
      <c r="BL376" s="69"/>
      <c r="BM376" s="69"/>
      <c r="BN376" s="69"/>
      <c r="BO376" s="69"/>
      <c r="BP376" s="69"/>
      <c r="BQ376" s="69"/>
      <c r="BR376" s="69"/>
      <c r="BS376" s="69"/>
      <c r="BT376" s="69"/>
      <c r="BU376" s="69"/>
    </row>
    <row r="377" spans="15:73" x14ac:dyDescent="0.2"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69"/>
      <c r="BG377" s="69"/>
      <c r="BH377" s="69"/>
      <c r="BI377" s="69"/>
      <c r="BJ377" s="69"/>
      <c r="BK377" s="69"/>
      <c r="BL377" s="69"/>
      <c r="BM377" s="69"/>
      <c r="BN377" s="69"/>
      <c r="BO377" s="69"/>
      <c r="BP377" s="69"/>
      <c r="BQ377" s="69"/>
      <c r="BR377" s="69"/>
      <c r="BS377" s="69"/>
      <c r="BT377" s="69"/>
      <c r="BU377" s="69"/>
    </row>
    <row r="378" spans="15:73" x14ac:dyDescent="0.2"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69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9"/>
      <c r="BS378" s="69"/>
      <c r="BT378" s="69"/>
      <c r="BU378" s="69"/>
    </row>
    <row r="379" spans="15:73" x14ac:dyDescent="0.2"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69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9"/>
      <c r="BS379" s="69"/>
      <c r="BT379" s="69"/>
      <c r="BU379" s="69"/>
    </row>
    <row r="380" spans="15:73" x14ac:dyDescent="0.2"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69"/>
      <c r="BG380" s="69"/>
      <c r="BH380" s="69"/>
      <c r="BI380" s="69"/>
      <c r="BJ380" s="69"/>
      <c r="BK380" s="69"/>
      <c r="BL380" s="69"/>
      <c r="BM380" s="69"/>
      <c r="BN380" s="69"/>
      <c r="BO380" s="69"/>
      <c r="BP380" s="69"/>
      <c r="BQ380" s="69"/>
      <c r="BR380" s="69"/>
      <c r="BS380" s="69"/>
      <c r="BT380" s="69"/>
      <c r="BU380" s="69"/>
    </row>
    <row r="381" spans="15:73" x14ac:dyDescent="0.2"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69"/>
      <c r="BG381" s="69"/>
      <c r="BH381" s="69"/>
      <c r="BI381" s="69"/>
      <c r="BJ381" s="69"/>
      <c r="BK381" s="69"/>
      <c r="BL381" s="69"/>
      <c r="BM381" s="69"/>
      <c r="BN381" s="69"/>
      <c r="BO381" s="69"/>
      <c r="BP381" s="69"/>
      <c r="BQ381" s="69"/>
      <c r="BR381" s="69"/>
      <c r="BS381" s="69"/>
      <c r="BT381" s="69"/>
      <c r="BU381" s="69"/>
    </row>
    <row r="382" spans="15:73" x14ac:dyDescent="0.2"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9"/>
      <c r="BG382" s="69"/>
      <c r="BH382" s="69"/>
      <c r="BI382" s="69"/>
      <c r="BJ382" s="69"/>
      <c r="BK382" s="69"/>
      <c r="BL382" s="69"/>
      <c r="BM382" s="69"/>
      <c r="BN382" s="69"/>
      <c r="BO382" s="69"/>
      <c r="BP382" s="69"/>
      <c r="BQ382" s="69"/>
      <c r="BR382" s="69"/>
      <c r="BS382" s="69"/>
      <c r="BT382" s="69"/>
      <c r="BU382" s="69"/>
    </row>
    <row r="383" spans="15:73" x14ac:dyDescent="0.2"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69"/>
      <c r="BG383" s="69"/>
      <c r="BH383" s="69"/>
      <c r="BI383" s="69"/>
      <c r="BJ383" s="69"/>
      <c r="BK383" s="69"/>
      <c r="BL383" s="69"/>
      <c r="BM383" s="69"/>
      <c r="BN383" s="69"/>
      <c r="BO383" s="69"/>
      <c r="BP383" s="69"/>
      <c r="BQ383" s="69"/>
      <c r="BR383" s="69"/>
      <c r="BS383" s="69"/>
      <c r="BT383" s="69"/>
      <c r="BU383" s="69"/>
    </row>
    <row r="384" spans="15:73" x14ac:dyDescent="0.2"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69"/>
      <c r="BG384" s="69"/>
      <c r="BH384" s="69"/>
      <c r="BI384" s="69"/>
      <c r="BJ384" s="69"/>
      <c r="BK384" s="69"/>
      <c r="BL384" s="69"/>
      <c r="BM384" s="69"/>
      <c r="BN384" s="69"/>
      <c r="BO384" s="69"/>
      <c r="BP384" s="69"/>
      <c r="BQ384" s="69"/>
      <c r="BR384" s="69"/>
      <c r="BS384" s="69"/>
      <c r="BT384" s="69"/>
      <c r="BU384" s="69"/>
    </row>
    <row r="385" spans="15:73" x14ac:dyDescent="0.2"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69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9"/>
      <c r="BS385" s="69"/>
      <c r="BT385" s="69"/>
      <c r="BU385" s="69"/>
    </row>
    <row r="386" spans="15:73" x14ac:dyDescent="0.2"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9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9"/>
      <c r="BS386" s="69"/>
      <c r="BT386" s="69"/>
      <c r="BU386" s="69"/>
    </row>
    <row r="387" spans="15:73" x14ac:dyDescent="0.2"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69"/>
      <c r="BG387" s="69"/>
      <c r="BH387" s="69"/>
      <c r="BI387" s="69"/>
      <c r="BJ387" s="69"/>
      <c r="BK387" s="69"/>
      <c r="BL387" s="69"/>
      <c r="BM387" s="69"/>
      <c r="BN387" s="69"/>
      <c r="BO387" s="69"/>
      <c r="BP387" s="69"/>
      <c r="BQ387" s="69"/>
      <c r="BR387" s="69"/>
      <c r="BS387" s="69"/>
      <c r="BT387" s="69"/>
      <c r="BU387" s="69"/>
    </row>
    <row r="388" spans="15:73" x14ac:dyDescent="0.2"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69"/>
      <c r="BG388" s="69"/>
      <c r="BH388" s="69"/>
      <c r="BI388" s="69"/>
      <c r="BJ388" s="69"/>
      <c r="BK388" s="69"/>
      <c r="BL388" s="69"/>
      <c r="BM388" s="69"/>
      <c r="BN388" s="69"/>
      <c r="BO388" s="69"/>
      <c r="BP388" s="69"/>
      <c r="BQ388" s="69"/>
      <c r="BR388" s="69"/>
      <c r="BS388" s="69"/>
      <c r="BT388" s="69"/>
      <c r="BU388" s="69"/>
    </row>
    <row r="389" spans="15:73" x14ac:dyDescent="0.2"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69"/>
      <c r="BG389" s="69"/>
      <c r="BH389" s="69"/>
      <c r="BI389" s="69"/>
      <c r="BJ389" s="69"/>
      <c r="BK389" s="69"/>
      <c r="BL389" s="69"/>
      <c r="BM389" s="69"/>
      <c r="BN389" s="69"/>
      <c r="BO389" s="69"/>
      <c r="BP389" s="69"/>
      <c r="BQ389" s="69"/>
      <c r="BR389" s="69"/>
      <c r="BS389" s="69"/>
      <c r="BT389" s="69"/>
      <c r="BU389" s="69"/>
    </row>
    <row r="390" spans="15:73" x14ac:dyDescent="0.2"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</row>
    <row r="391" spans="15:73" x14ac:dyDescent="0.2"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69"/>
      <c r="BG391" s="69"/>
      <c r="BH391" s="69"/>
      <c r="BI391" s="69"/>
      <c r="BJ391" s="69"/>
      <c r="BK391" s="69"/>
      <c r="BL391" s="69"/>
      <c r="BM391" s="69"/>
      <c r="BN391" s="69"/>
      <c r="BO391" s="69"/>
      <c r="BP391" s="69"/>
      <c r="BQ391" s="69"/>
      <c r="BR391" s="69"/>
      <c r="BS391" s="69"/>
      <c r="BT391" s="69"/>
      <c r="BU391" s="69"/>
    </row>
    <row r="392" spans="15:73" x14ac:dyDescent="0.2"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69"/>
      <c r="BG392" s="69"/>
      <c r="BH392" s="69"/>
      <c r="BI392" s="69"/>
      <c r="BJ392" s="69"/>
      <c r="BK392" s="69"/>
      <c r="BL392" s="69"/>
      <c r="BM392" s="69"/>
      <c r="BN392" s="69"/>
      <c r="BO392" s="69"/>
      <c r="BP392" s="69"/>
      <c r="BQ392" s="69"/>
      <c r="BR392" s="69"/>
      <c r="BS392" s="69"/>
      <c r="BT392" s="69"/>
      <c r="BU392" s="69"/>
    </row>
    <row r="393" spans="15:73" x14ac:dyDescent="0.2"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69"/>
      <c r="BG393" s="69"/>
      <c r="BH393" s="69"/>
      <c r="BI393" s="69"/>
      <c r="BJ393" s="69"/>
      <c r="BK393" s="69"/>
      <c r="BL393" s="69"/>
      <c r="BM393" s="69"/>
      <c r="BN393" s="69"/>
      <c r="BO393" s="69"/>
      <c r="BP393" s="69"/>
      <c r="BQ393" s="69"/>
      <c r="BR393" s="69"/>
      <c r="BS393" s="69"/>
      <c r="BT393" s="69"/>
      <c r="BU393" s="69"/>
    </row>
    <row r="394" spans="15:73" x14ac:dyDescent="0.2"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69"/>
      <c r="BG394" s="69"/>
      <c r="BH394" s="69"/>
      <c r="BI394" s="69"/>
      <c r="BJ394" s="69"/>
      <c r="BK394" s="69"/>
      <c r="BL394" s="69"/>
      <c r="BM394" s="69"/>
      <c r="BN394" s="69"/>
      <c r="BO394" s="69"/>
      <c r="BP394" s="69"/>
      <c r="BQ394" s="69"/>
      <c r="BR394" s="69"/>
      <c r="BS394" s="69"/>
      <c r="BT394" s="69"/>
      <c r="BU394" s="69"/>
    </row>
    <row r="395" spans="15:73" x14ac:dyDescent="0.2"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69"/>
      <c r="BG395" s="69"/>
      <c r="BH395" s="69"/>
      <c r="BI395" s="69"/>
      <c r="BJ395" s="69"/>
      <c r="BK395" s="69"/>
      <c r="BL395" s="69"/>
      <c r="BM395" s="69"/>
      <c r="BN395" s="69"/>
      <c r="BO395" s="69"/>
      <c r="BP395" s="69"/>
      <c r="BQ395" s="69"/>
      <c r="BR395" s="69"/>
      <c r="BS395" s="69"/>
      <c r="BT395" s="69"/>
      <c r="BU395" s="69"/>
    </row>
    <row r="396" spans="15:73" x14ac:dyDescent="0.2"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  <c r="AV396" s="69"/>
      <c r="AW396" s="69"/>
      <c r="AX396" s="69"/>
      <c r="AY396" s="69"/>
      <c r="AZ396" s="69"/>
      <c r="BA396" s="69"/>
      <c r="BB396" s="69"/>
      <c r="BC396" s="69"/>
      <c r="BD396" s="69"/>
      <c r="BE396" s="69"/>
      <c r="BF396" s="69"/>
      <c r="BG396" s="69"/>
      <c r="BH396" s="69"/>
      <c r="BI396" s="69"/>
      <c r="BJ396" s="69"/>
      <c r="BK396" s="69"/>
      <c r="BL396" s="69"/>
      <c r="BM396" s="69"/>
      <c r="BN396" s="69"/>
      <c r="BO396" s="69"/>
      <c r="BP396" s="69"/>
      <c r="BQ396" s="69"/>
      <c r="BR396" s="69"/>
      <c r="BS396" s="69"/>
      <c r="BT396" s="69"/>
      <c r="BU396" s="69"/>
    </row>
    <row r="397" spans="15:73" x14ac:dyDescent="0.2"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9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  <c r="AV397" s="69"/>
      <c r="AW397" s="69"/>
      <c r="AX397" s="69"/>
      <c r="AY397" s="69"/>
      <c r="AZ397" s="69"/>
      <c r="BA397" s="69"/>
      <c r="BB397" s="69"/>
      <c r="BC397" s="69"/>
      <c r="BD397" s="69"/>
      <c r="BE397" s="69"/>
      <c r="BF397" s="69"/>
      <c r="BG397" s="69"/>
      <c r="BH397" s="69"/>
      <c r="BI397" s="69"/>
      <c r="BJ397" s="69"/>
      <c r="BK397" s="69"/>
      <c r="BL397" s="69"/>
      <c r="BM397" s="69"/>
      <c r="BN397" s="69"/>
      <c r="BO397" s="69"/>
      <c r="BP397" s="69"/>
      <c r="BQ397" s="69"/>
      <c r="BR397" s="69"/>
      <c r="BS397" s="69"/>
      <c r="BT397" s="69"/>
      <c r="BU397" s="69"/>
    </row>
    <row r="398" spans="15:73" x14ac:dyDescent="0.2"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  <c r="AV398" s="69"/>
      <c r="AW398" s="69"/>
      <c r="AX398" s="69"/>
      <c r="AY398" s="69"/>
      <c r="AZ398" s="69"/>
      <c r="BA398" s="69"/>
      <c r="BB398" s="69"/>
      <c r="BC398" s="69"/>
      <c r="BD398" s="69"/>
      <c r="BE398" s="69"/>
      <c r="BF398" s="69"/>
      <c r="BG398" s="69"/>
      <c r="BH398" s="69"/>
      <c r="BI398" s="69"/>
      <c r="BJ398" s="69"/>
      <c r="BK398" s="69"/>
      <c r="BL398" s="69"/>
      <c r="BM398" s="69"/>
      <c r="BN398" s="69"/>
      <c r="BO398" s="69"/>
      <c r="BP398" s="69"/>
      <c r="BQ398" s="69"/>
      <c r="BR398" s="69"/>
      <c r="BS398" s="69"/>
      <c r="BT398" s="69"/>
      <c r="BU398" s="69"/>
    </row>
    <row r="399" spans="15:73" x14ac:dyDescent="0.2"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  <c r="AV399" s="69"/>
      <c r="AW399" s="69"/>
      <c r="AX399" s="69"/>
      <c r="AY399" s="69"/>
      <c r="AZ399" s="69"/>
      <c r="BA399" s="69"/>
      <c r="BB399" s="69"/>
      <c r="BC399" s="69"/>
      <c r="BD399" s="69"/>
      <c r="BE399" s="69"/>
      <c r="BF399" s="69"/>
      <c r="BG399" s="69"/>
      <c r="BH399" s="69"/>
      <c r="BI399" s="69"/>
      <c r="BJ399" s="69"/>
      <c r="BK399" s="69"/>
      <c r="BL399" s="69"/>
      <c r="BM399" s="69"/>
      <c r="BN399" s="69"/>
      <c r="BO399" s="69"/>
      <c r="BP399" s="69"/>
      <c r="BQ399" s="69"/>
      <c r="BR399" s="69"/>
      <c r="BS399" s="69"/>
      <c r="BT399" s="69"/>
      <c r="BU399" s="69"/>
    </row>
    <row r="400" spans="15:73" x14ac:dyDescent="0.2"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  <c r="AV400" s="69"/>
      <c r="AW400" s="69"/>
      <c r="AX400" s="69"/>
      <c r="AY400" s="69"/>
      <c r="AZ400" s="69"/>
      <c r="BA400" s="69"/>
      <c r="BB400" s="69"/>
      <c r="BC400" s="69"/>
      <c r="BD400" s="69"/>
      <c r="BE400" s="69"/>
      <c r="BF400" s="69"/>
      <c r="BG400" s="69"/>
      <c r="BH400" s="69"/>
      <c r="BI400" s="69"/>
      <c r="BJ400" s="69"/>
      <c r="BK400" s="69"/>
      <c r="BL400" s="69"/>
      <c r="BM400" s="69"/>
      <c r="BN400" s="69"/>
      <c r="BO400" s="69"/>
      <c r="BP400" s="69"/>
      <c r="BQ400" s="69"/>
      <c r="BR400" s="69"/>
      <c r="BS400" s="69"/>
      <c r="BT400" s="69"/>
      <c r="BU400" s="69"/>
    </row>
    <row r="401" spans="15:73" x14ac:dyDescent="0.2"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  <c r="AV401" s="69"/>
      <c r="AW401" s="69"/>
      <c r="AX401" s="69"/>
      <c r="AY401" s="69"/>
      <c r="AZ401" s="69"/>
      <c r="BA401" s="69"/>
      <c r="BB401" s="69"/>
      <c r="BC401" s="69"/>
      <c r="BD401" s="69"/>
      <c r="BE401" s="69"/>
      <c r="BF401" s="69"/>
      <c r="BG401" s="69"/>
      <c r="BH401" s="69"/>
      <c r="BI401" s="69"/>
      <c r="BJ401" s="69"/>
      <c r="BK401" s="69"/>
      <c r="BL401" s="69"/>
      <c r="BM401" s="69"/>
      <c r="BN401" s="69"/>
      <c r="BO401" s="69"/>
      <c r="BP401" s="69"/>
      <c r="BQ401" s="69"/>
      <c r="BR401" s="69"/>
      <c r="BS401" s="69"/>
      <c r="BT401" s="69"/>
      <c r="BU401" s="69"/>
    </row>
    <row r="402" spans="15:73" x14ac:dyDescent="0.2"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</row>
    <row r="403" spans="15:73" x14ac:dyDescent="0.2"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  <c r="AV403" s="69"/>
      <c r="AW403" s="69"/>
      <c r="AX403" s="69"/>
      <c r="AY403" s="69"/>
      <c r="AZ403" s="69"/>
      <c r="BA403" s="69"/>
      <c r="BB403" s="69"/>
      <c r="BC403" s="69"/>
      <c r="BD403" s="69"/>
      <c r="BE403" s="69"/>
      <c r="BF403" s="69"/>
      <c r="BG403" s="69"/>
      <c r="BH403" s="69"/>
      <c r="BI403" s="69"/>
      <c r="BJ403" s="69"/>
      <c r="BK403" s="69"/>
      <c r="BL403" s="69"/>
      <c r="BM403" s="69"/>
      <c r="BN403" s="69"/>
      <c r="BO403" s="69"/>
      <c r="BP403" s="69"/>
      <c r="BQ403" s="69"/>
      <c r="BR403" s="69"/>
      <c r="BS403" s="69"/>
      <c r="BT403" s="69"/>
      <c r="BU403" s="69"/>
    </row>
    <row r="404" spans="15:73" x14ac:dyDescent="0.2"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  <c r="AV404" s="69"/>
      <c r="AW404" s="69"/>
      <c r="AX404" s="69"/>
      <c r="AY404" s="69"/>
      <c r="AZ404" s="69"/>
      <c r="BA404" s="69"/>
      <c r="BB404" s="69"/>
      <c r="BC404" s="69"/>
      <c r="BD404" s="69"/>
      <c r="BE404" s="69"/>
      <c r="BF404" s="69"/>
      <c r="BG404" s="69"/>
      <c r="BH404" s="69"/>
      <c r="BI404" s="69"/>
      <c r="BJ404" s="69"/>
      <c r="BK404" s="69"/>
      <c r="BL404" s="69"/>
      <c r="BM404" s="69"/>
      <c r="BN404" s="69"/>
      <c r="BO404" s="69"/>
      <c r="BP404" s="69"/>
      <c r="BQ404" s="69"/>
      <c r="BR404" s="69"/>
      <c r="BS404" s="69"/>
      <c r="BT404" s="69"/>
      <c r="BU404" s="69"/>
    </row>
    <row r="405" spans="15:73" x14ac:dyDescent="0.2"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  <c r="AV405" s="69"/>
      <c r="AW405" s="69"/>
      <c r="AX405" s="69"/>
      <c r="AY405" s="69"/>
      <c r="AZ405" s="69"/>
      <c r="BA405" s="69"/>
      <c r="BB405" s="69"/>
      <c r="BC405" s="69"/>
      <c r="BD405" s="69"/>
      <c r="BE405" s="69"/>
      <c r="BF405" s="69"/>
      <c r="BG405" s="69"/>
      <c r="BH405" s="69"/>
      <c r="BI405" s="69"/>
      <c r="BJ405" s="69"/>
      <c r="BK405" s="69"/>
      <c r="BL405" s="69"/>
      <c r="BM405" s="69"/>
      <c r="BN405" s="69"/>
      <c r="BO405" s="69"/>
      <c r="BP405" s="69"/>
      <c r="BQ405" s="69"/>
      <c r="BR405" s="69"/>
      <c r="BS405" s="69"/>
      <c r="BT405" s="69"/>
      <c r="BU405" s="69"/>
    </row>
    <row r="406" spans="15:73" x14ac:dyDescent="0.2"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  <c r="AV406" s="69"/>
      <c r="AW406" s="69"/>
      <c r="AX406" s="69"/>
      <c r="AY406" s="69"/>
      <c r="AZ406" s="69"/>
      <c r="BA406" s="69"/>
      <c r="BB406" s="69"/>
      <c r="BC406" s="69"/>
      <c r="BD406" s="69"/>
      <c r="BE406" s="69"/>
      <c r="BF406" s="69"/>
      <c r="BG406" s="69"/>
      <c r="BH406" s="69"/>
      <c r="BI406" s="69"/>
      <c r="BJ406" s="69"/>
      <c r="BK406" s="69"/>
      <c r="BL406" s="69"/>
      <c r="BM406" s="69"/>
      <c r="BN406" s="69"/>
      <c r="BO406" s="69"/>
      <c r="BP406" s="69"/>
      <c r="BQ406" s="69"/>
      <c r="BR406" s="69"/>
      <c r="BS406" s="69"/>
      <c r="BT406" s="69"/>
      <c r="BU406" s="69"/>
    </row>
    <row r="407" spans="15:73" x14ac:dyDescent="0.2"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9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  <c r="AV407" s="69"/>
      <c r="AW407" s="69"/>
      <c r="AX407" s="69"/>
      <c r="AY407" s="69"/>
      <c r="AZ407" s="69"/>
      <c r="BA407" s="69"/>
      <c r="BB407" s="69"/>
      <c r="BC407" s="69"/>
      <c r="BD407" s="69"/>
      <c r="BE407" s="69"/>
      <c r="BF407" s="69"/>
      <c r="BG407" s="69"/>
      <c r="BH407" s="69"/>
      <c r="BI407" s="69"/>
      <c r="BJ407" s="69"/>
      <c r="BK407" s="69"/>
      <c r="BL407" s="69"/>
      <c r="BM407" s="69"/>
      <c r="BN407" s="69"/>
      <c r="BO407" s="69"/>
      <c r="BP407" s="69"/>
      <c r="BQ407" s="69"/>
      <c r="BR407" s="69"/>
      <c r="BS407" s="69"/>
      <c r="BT407" s="69"/>
      <c r="BU407" s="69"/>
    </row>
    <row r="408" spans="15:73" x14ac:dyDescent="0.2"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  <c r="AV408" s="69"/>
      <c r="AW408" s="69"/>
      <c r="AX408" s="69"/>
      <c r="AY408" s="69"/>
      <c r="AZ408" s="69"/>
      <c r="BA408" s="69"/>
      <c r="BB408" s="69"/>
      <c r="BC408" s="69"/>
      <c r="BD408" s="69"/>
      <c r="BE408" s="69"/>
      <c r="BF408" s="69"/>
      <c r="BG408" s="69"/>
      <c r="BH408" s="69"/>
      <c r="BI408" s="69"/>
      <c r="BJ408" s="69"/>
      <c r="BK408" s="69"/>
      <c r="BL408" s="69"/>
      <c r="BM408" s="69"/>
      <c r="BN408" s="69"/>
      <c r="BO408" s="69"/>
      <c r="BP408" s="69"/>
      <c r="BQ408" s="69"/>
      <c r="BR408" s="69"/>
      <c r="BS408" s="69"/>
      <c r="BT408" s="69"/>
      <c r="BU408" s="69"/>
    </row>
    <row r="409" spans="15:73" x14ac:dyDescent="0.2"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  <c r="AV409" s="69"/>
      <c r="AW409" s="69"/>
      <c r="AX409" s="69"/>
      <c r="AY409" s="69"/>
      <c r="AZ409" s="69"/>
      <c r="BA409" s="69"/>
      <c r="BB409" s="69"/>
      <c r="BC409" s="69"/>
      <c r="BD409" s="69"/>
      <c r="BE409" s="69"/>
      <c r="BF409" s="69"/>
      <c r="BG409" s="69"/>
      <c r="BH409" s="69"/>
      <c r="BI409" s="69"/>
      <c r="BJ409" s="69"/>
      <c r="BK409" s="69"/>
      <c r="BL409" s="69"/>
      <c r="BM409" s="69"/>
      <c r="BN409" s="69"/>
      <c r="BO409" s="69"/>
      <c r="BP409" s="69"/>
      <c r="BQ409" s="69"/>
      <c r="BR409" s="69"/>
      <c r="BS409" s="69"/>
      <c r="BT409" s="69"/>
      <c r="BU409" s="69"/>
    </row>
    <row r="410" spans="15:73" x14ac:dyDescent="0.2"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  <c r="AV410" s="69"/>
      <c r="AW410" s="69"/>
      <c r="AX410" s="69"/>
      <c r="AY410" s="69"/>
      <c r="AZ410" s="69"/>
      <c r="BA410" s="69"/>
      <c r="BB410" s="69"/>
      <c r="BC410" s="69"/>
      <c r="BD410" s="69"/>
      <c r="BE410" s="69"/>
      <c r="BF410" s="69"/>
      <c r="BG410" s="69"/>
      <c r="BH410" s="69"/>
      <c r="BI410" s="69"/>
      <c r="BJ410" s="69"/>
      <c r="BK410" s="69"/>
      <c r="BL410" s="69"/>
      <c r="BM410" s="69"/>
      <c r="BN410" s="69"/>
      <c r="BO410" s="69"/>
      <c r="BP410" s="69"/>
      <c r="BQ410" s="69"/>
      <c r="BR410" s="69"/>
      <c r="BS410" s="69"/>
      <c r="BT410" s="69"/>
      <c r="BU410" s="69"/>
    </row>
    <row r="411" spans="15:73" x14ac:dyDescent="0.2"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</row>
    <row r="412" spans="15:73" x14ac:dyDescent="0.2"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</row>
    <row r="413" spans="15:73" x14ac:dyDescent="0.2"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</row>
    <row r="414" spans="15:73" x14ac:dyDescent="0.2"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</row>
    <row r="415" spans="15:73" x14ac:dyDescent="0.2"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</row>
    <row r="416" spans="15:73" x14ac:dyDescent="0.2"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</row>
    <row r="417" spans="15:73" x14ac:dyDescent="0.2"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</row>
    <row r="418" spans="15:73" x14ac:dyDescent="0.2"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</row>
    <row r="419" spans="15:73" x14ac:dyDescent="0.2"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</row>
    <row r="420" spans="15:73" x14ac:dyDescent="0.2"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</row>
    <row r="421" spans="15:73" x14ac:dyDescent="0.2"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</row>
    <row r="422" spans="15:73" x14ac:dyDescent="0.2"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</row>
    <row r="423" spans="15:73" x14ac:dyDescent="0.2"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</row>
    <row r="424" spans="15:73" x14ac:dyDescent="0.2"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</row>
    <row r="425" spans="15:73" x14ac:dyDescent="0.2"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</row>
    <row r="426" spans="15:73" x14ac:dyDescent="0.2"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</row>
    <row r="427" spans="15:73" x14ac:dyDescent="0.2"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</row>
    <row r="428" spans="15:73" x14ac:dyDescent="0.2"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</row>
    <row r="429" spans="15:73" x14ac:dyDescent="0.2"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</row>
    <row r="430" spans="15:73" x14ac:dyDescent="0.2"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</row>
    <row r="431" spans="15:73" x14ac:dyDescent="0.2"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</row>
    <row r="432" spans="15:73" x14ac:dyDescent="0.2"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</row>
    <row r="433" spans="15:73" x14ac:dyDescent="0.2"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</row>
    <row r="434" spans="15:73" x14ac:dyDescent="0.2"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</row>
    <row r="435" spans="15:73" x14ac:dyDescent="0.2"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</row>
    <row r="436" spans="15:73" x14ac:dyDescent="0.2"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</row>
    <row r="437" spans="15:73" x14ac:dyDescent="0.2"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</row>
    <row r="438" spans="15:73" x14ac:dyDescent="0.2"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  <c r="AV438" s="69"/>
      <c r="AW438" s="69"/>
      <c r="AX438" s="69"/>
      <c r="AY438" s="69"/>
      <c r="AZ438" s="69"/>
      <c r="BA438" s="69"/>
      <c r="BB438" s="69"/>
      <c r="BC438" s="69"/>
      <c r="BD438" s="69"/>
      <c r="BE438" s="69"/>
      <c r="BF438" s="69"/>
      <c r="BG438" s="69"/>
      <c r="BH438" s="69"/>
      <c r="BI438" s="69"/>
      <c r="BJ438" s="69"/>
      <c r="BK438" s="69"/>
      <c r="BL438" s="69"/>
      <c r="BM438" s="69"/>
      <c r="BN438" s="69"/>
      <c r="BO438" s="69"/>
      <c r="BP438" s="69"/>
      <c r="BQ438" s="69"/>
      <c r="BR438" s="69"/>
      <c r="BS438" s="69"/>
      <c r="BT438" s="69"/>
      <c r="BU438" s="69"/>
    </row>
    <row r="439" spans="15:73" x14ac:dyDescent="0.2"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9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  <c r="AV439" s="69"/>
      <c r="AW439" s="69"/>
      <c r="AX439" s="69"/>
      <c r="AY439" s="69"/>
      <c r="AZ439" s="69"/>
      <c r="BA439" s="69"/>
      <c r="BB439" s="69"/>
      <c r="BC439" s="69"/>
      <c r="BD439" s="69"/>
      <c r="BE439" s="69"/>
      <c r="BF439" s="69"/>
      <c r="BG439" s="69"/>
      <c r="BH439" s="69"/>
      <c r="BI439" s="69"/>
      <c r="BJ439" s="69"/>
      <c r="BK439" s="69"/>
      <c r="BL439" s="69"/>
      <c r="BM439" s="69"/>
      <c r="BN439" s="69"/>
      <c r="BO439" s="69"/>
      <c r="BP439" s="69"/>
      <c r="BQ439" s="69"/>
      <c r="BR439" s="69"/>
      <c r="BS439" s="69"/>
      <c r="BT439" s="69"/>
      <c r="BU439" s="69"/>
    </row>
    <row r="440" spans="15:73" x14ac:dyDescent="0.2"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</row>
    <row r="441" spans="15:73" x14ac:dyDescent="0.2"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</row>
    <row r="442" spans="15:73" x14ac:dyDescent="0.2"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9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  <c r="AV442" s="69"/>
      <c r="AW442" s="69"/>
      <c r="AX442" s="69"/>
      <c r="AY442" s="69"/>
      <c r="AZ442" s="69"/>
      <c r="BA442" s="69"/>
      <c r="BB442" s="69"/>
      <c r="BC442" s="69"/>
      <c r="BD442" s="69"/>
      <c r="BE442" s="69"/>
      <c r="BF442" s="69"/>
      <c r="BG442" s="69"/>
      <c r="BH442" s="69"/>
      <c r="BI442" s="69"/>
      <c r="BJ442" s="69"/>
      <c r="BK442" s="69"/>
      <c r="BL442" s="69"/>
      <c r="BM442" s="69"/>
      <c r="BN442" s="69"/>
      <c r="BO442" s="69"/>
      <c r="BP442" s="69"/>
      <c r="BQ442" s="69"/>
      <c r="BR442" s="69"/>
      <c r="BS442" s="69"/>
      <c r="BT442" s="69"/>
      <c r="BU442" s="69"/>
    </row>
    <row r="443" spans="15:73" x14ac:dyDescent="0.2"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  <c r="AV443" s="69"/>
      <c r="AW443" s="69"/>
      <c r="AX443" s="69"/>
      <c r="AY443" s="69"/>
      <c r="AZ443" s="69"/>
      <c r="BA443" s="69"/>
      <c r="BB443" s="69"/>
      <c r="BC443" s="69"/>
      <c r="BD443" s="69"/>
      <c r="BE443" s="69"/>
      <c r="BF443" s="69"/>
      <c r="BG443" s="69"/>
      <c r="BH443" s="69"/>
      <c r="BI443" s="69"/>
      <c r="BJ443" s="69"/>
      <c r="BK443" s="69"/>
      <c r="BL443" s="69"/>
      <c r="BM443" s="69"/>
      <c r="BN443" s="69"/>
      <c r="BO443" s="69"/>
      <c r="BP443" s="69"/>
      <c r="BQ443" s="69"/>
      <c r="BR443" s="69"/>
      <c r="BS443" s="69"/>
      <c r="BT443" s="69"/>
      <c r="BU443" s="69"/>
    </row>
    <row r="444" spans="15:73" x14ac:dyDescent="0.2"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  <c r="AV444" s="69"/>
      <c r="AW444" s="69"/>
      <c r="AX444" s="69"/>
      <c r="AY444" s="69"/>
      <c r="AZ444" s="69"/>
      <c r="BA444" s="69"/>
      <c r="BB444" s="69"/>
      <c r="BC444" s="69"/>
      <c r="BD444" s="69"/>
      <c r="BE444" s="69"/>
      <c r="BF444" s="69"/>
      <c r="BG444" s="69"/>
      <c r="BH444" s="69"/>
      <c r="BI444" s="69"/>
      <c r="BJ444" s="69"/>
      <c r="BK444" s="69"/>
      <c r="BL444" s="69"/>
      <c r="BM444" s="69"/>
      <c r="BN444" s="69"/>
      <c r="BO444" s="69"/>
      <c r="BP444" s="69"/>
      <c r="BQ444" s="69"/>
      <c r="BR444" s="69"/>
      <c r="BS444" s="69"/>
      <c r="BT444" s="69"/>
      <c r="BU444" s="69"/>
    </row>
    <row r="445" spans="15:73" x14ac:dyDescent="0.2"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  <c r="AV445" s="69"/>
      <c r="AW445" s="69"/>
      <c r="AX445" s="69"/>
      <c r="AY445" s="69"/>
      <c r="AZ445" s="69"/>
      <c r="BA445" s="69"/>
      <c r="BB445" s="69"/>
      <c r="BC445" s="69"/>
      <c r="BD445" s="69"/>
      <c r="BE445" s="69"/>
      <c r="BF445" s="69"/>
      <c r="BG445" s="69"/>
      <c r="BH445" s="69"/>
      <c r="BI445" s="69"/>
      <c r="BJ445" s="69"/>
      <c r="BK445" s="69"/>
      <c r="BL445" s="69"/>
      <c r="BM445" s="69"/>
      <c r="BN445" s="69"/>
      <c r="BO445" s="69"/>
      <c r="BP445" s="69"/>
      <c r="BQ445" s="69"/>
      <c r="BR445" s="69"/>
      <c r="BS445" s="69"/>
      <c r="BT445" s="69"/>
      <c r="BU445" s="69"/>
    </row>
    <row r="446" spans="15:73" x14ac:dyDescent="0.2"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  <c r="AV446" s="69"/>
      <c r="AW446" s="69"/>
      <c r="AX446" s="69"/>
      <c r="AY446" s="69"/>
      <c r="AZ446" s="69"/>
      <c r="BA446" s="69"/>
      <c r="BB446" s="69"/>
      <c r="BC446" s="69"/>
      <c r="BD446" s="69"/>
      <c r="BE446" s="69"/>
      <c r="BF446" s="69"/>
      <c r="BG446" s="69"/>
      <c r="BH446" s="69"/>
      <c r="BI446" s="69"/>
      <c r="BJ446" s="69"/>
      <c r="BK446" s="69"/>
      <c r="BL446" s="69"/>
      <c r="BM446" s="69"/>
      <c r="BN446" s="69"/>
      <c r="BO446" s="69"/>
      <c r="BP446" s="69"/>
      <c r="BQ446" s="69"/>
      <c r="BR446" s="69"/>
      <c r="BS446" s="69"/>
      <c r="BT446" s="69"/>
      <c r="BU446" s="69"/>
    </row>
    <row r="447" spans="15:73" x14ac:dyDescent="0.2"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  <c r="AV447" s="69"/>
      <c r="AW447" s="69"/>
      <c r="AX447" s="69"/>
      <c r="AY447" s="69"/>
      <c r="AZ447" s="69"/>
      <c r="BA447" s="69"/>
      <c r="BB447" s="69"/>
      <c r="BC447" s="69"/>
      <c r="BD447" s="69"/>
      <c r="BE447" s="69"/>
      <c r="BF447" s="69"/>
      <c r="BG447" s="69"/>
      <c r="BH447" s="69"/>
      <c r="BI447" s="69"/>
      <c r="BJ447" s="69"/>
      <c r="BK447" s="69"/>
      <c r="BL447" s="69"/>
      <c r="BM447" s="69"/>
      <c r="BN447" s="69"/>
      <c r="BO447" s="69"/>
      <c r="BP447" s="69"/>
      <c r="BQ447" s="69"/>
      <c r="BR447" s="69"/>
      <c r="BS447" s="69"/>
      <c r="BT447" s="69"/>
      <c r="BU447" s="69"/>
    </row>
    <row r="448" spans="15:73" x14ac:dyDescent="0.2"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69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  <c r="AV448" s="69"/>
      <c r="AW448" s="69"/>
      <c r="AX448" s="69"/>
      <c r="AY448" s="69"/>
      <c r="AZ448" s="69"/>
      <c r="BA448" s="69"/>
      <c r="BB448" s="69"/>
      <c r="BC448" s="69"/>
      <c r="BD448" s="69"/>
      <c r="BE448" s="69"/>
      <c r="BF448" s="69"/>
      <c r="BG448" s="69"/>
      <c r="BH448" s="69"/>
      <c r="BI448" s="69"/>
      <c r="BJ448" s="69"/>
      <c r="BK448" s="69"/>
      <c r="BL448" s="69"/>
      <c r="BM448" s="69"/>
      <c r="BN448" s="69"/>
      <c r="BO448" s="69"/>
      <c r="BP448" s="69"/>
      <c r="BQ448" s="69"/>
      <c r="BR448" s="69"/>
      <c r="BS448" s="69"/>
      <c r="BT448" s="69"/>
      <c r="BU448" s="69"/>
    </row>
    <row r="449" spans="15:73" x14ac:dyDescent="0.2"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  <c r="AV449" s="69"/>
      <c r="AW449" s="69"/>
      <c r="AX449" s="69"/>
      <c r="AY449" s="69"/>
      <c r="AZ449" s="69"/>
      <c r="BA449" s="69"/>
      <c r="BB449" s="69"/>
      <c r="BC449" s="69"/>
      <c r="BD449" s="69"/>
      <c r="BE449" s="69"/>
      <c r="BF449" s="69"/>
      <c r="BG449" s="69"/>
      <c r="BH449" s="69"/>
      <c r="BI449" s="69"/>
      <c r="BJ449" s="69"/>
      <c r="BK449" s="69"/>
      <c r="BL449" s="69"/>
      <c r="BM449" s="69"/>
      <c r="BN449" s="69"/>
      <c r="BO449" s="69"/>
      <c r="BP449" s="69"/>
      <c r="BQ449" s="69"/>
      <c r="BR449" s="69"/>
      <c r="BS449" s="69"/>
      <c r="BT449" s="69"/>
      <c r="BU449" s="69"/>
    </row>
    <row r="450" spans="15:73" x14ac:dyDescent="0.2"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69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  <c r="AV450" s="69"/>
      <c r="AW450" s="69"/>
      <c r="AX450" s="69"/>
      <c r="AY450" s="69"/>
      <c r="AZ450" s="69"/>
      <c r="BA450" s="69"/>
      <c r="BB450" s="69"/>
      <c r="BC450" s="69"/>
      <c r="BD450" s="69"/>
      <c r="BE450" s="69"/>
      <c r="BF450" s="69"/>
      <c r="BG450" s="69"/>
      <c r="BH450" s="69"/>
      <c r="BI450" s="69"/>
      <c r="BJ450" s="69"/>
      <c r="BK450" s="69"/>
      <c r="BL450" s="69"/>
      <c r="BM450" s="69"/>
      <c r="BN450" s="69"/>
      <c r="BO450" s="69"/>
      <c r="BP450" s="69"/>
      <c r="BQ450" s="69"/>
      <c r="BR450" s="69"/>
      <c r="BS450" s="69"/>
      <c r="BT450" s="69"/>
      <c r="BU450" s="69"/>
    </row>
    <row r="451" spans="15:73" x14ac:dyDescent="0.2"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9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  <c r="AV451" s="69"/>
      <c r="AW451" s="69"/>
      <c r="AX451" s="69"/>
      <c r="AY451" s="69"/>
      <c r="AZ451" s="69"/>
      <c r="BA451" s="69"/>
      <c r="BB451" s="69"/>
      <c r="BC451" s="69"/>
      <c r="BD451" s="69"/>
      <c r="BE451" s="69"/>
      <c r="BF451" s="69"/>
      <c r="BG451" s="69"/>
      <c r="BH451" s="69"/>
      <c r="BI451" s="69"/>
      <c r="BJ451" s="69"/>
      <c r="BK451" s="69"/>
      <c r="BL451" s="69"/>
      <c r="BM451" s="69"/>
      <c r="BN451" s="69"/>
      <c r="BO451" s="69"/>
      <c r="BP451" s="69"/>
      <c r="BQ451" s="69"/>
      <c r="BR451" s="69"/>
      <c r="BS451" s="69"/>
      <c r="BT451" s="69"/>
      <c r="BU451" s="69"/>
    </row>
    <row r="452" spans="15:73" x14ac:dyDescent="0.2"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  <c r="AV452" s="69"/>
      <c r="AW452" s="69"/>
      <c r="AX452" s="69"/>
      <c r="AY452" s="69"/>
      <c r="AZ452" s="69"/>
      <c r="BA452" s="69"/>
      <c r="BB452" s="69"/>
      <c r="BC452" s="69"/>
      <c r="BD452" s="69"/>
      <c r="BE452" s="69"/>
      <c r="BF452" s="69"/>
      <c r="BG452" s="69"/>
      <c r="BH452" s="69"/>
      <c r="BI452" s="69"/>
      <c r="BJ452" s="69"/>
      <c r="BK452" s="69"/>
      <c r="BL452" s="69"/>
      <c r="BM452" s="69"/>
      <c r="BN452" s="69"/>
      <c r="BO452" s="69"/>
      <c r="BP452" s="69"/>
      <c r="BQ452" s="69"/>
      <c r="BR452" s="69"/>
      <c r="BS452" s="69"/>
      <c r="BT452" s="69"/>
      <c r="BU452" s="69"/>
    </row>
    <row r="453" spans="15:73" x14ac:dyDescent="0.2"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  <c r="AV453" s="69"/>
      <c r="AW453" s="69"/>
      <c r="AX453" s="69"/>
      <c r="AY453" s="69"/>
      <c r="AZ453" s="69"/>
      <c r="BA453" s="69"/>
      <c r="BB453" s="69"/>
      <c r="BC453" s="69"/>
      <c r="BD453" s="69"/>
      <c r="BE453" s="69"/>
      <c r="BF453" s="69"/>
      <c r="BG453" s="69"/>
      <c r="BH453" s="69"/>
      <c r="BI453" s="69"/>
      <c r="BJ453" s="69"/>
      <c r="BK453" s="69"/>
      <c r="BL453" s="69"/>
      <c r="BM453" s="69"/>
      <c r="BN453" s="69"/>
      <c r="BO453" s="69"/>
      <c r="BP453" s="69"/>
      <c r="BQ453" s="69"/>
      <c r="BR453" s="69"/>
      <c r="BS453" s="69"/>
      <c r="BT453" s="69"/>
      <c r="BU453" s="69"/>
    </row>
    <row r="454" spans="15:73" x14ac:dyDescent="0.2"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69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  <c r="AV454" s="69"/>
      <c r="AW454" s="69"/>
      <c r="AX454" s="69"/>
      <c r="AY454" s="69"/>
      <c r="AZ454" s="69"/>
      <c r="BA454" s="69"/>
      <c r="BB454" s="69"/>
      <c r="BC454" s="69"/>
      <c r="BD454" s="69"/>
      <c r="BE454" s="69"/>
      <c r="BF454" s="69"/>
      <c r="BG454" s="69"/>
      <c r="BH454" s="69"/>
      <c r="BI454" s="69"/>
      <c r="BJ454" s="69"/>
      <c r="BK454" s="69"/>
      <c r="BL454" s="69"/>
      <c r="BM454" s="69"/>
      <c r="BN454" s="69"/>
      <c r="BO454" s="69"/>
      <c r="BP454" s="69"/>
      <c r="BQ454" s="69"/>
      <c r="BR454" s="69"/>
      <c r="BS454" s="69"/>
      <c r="BT454" s="69"/>
      <c r="BU454" s="69"/>
    </row>
    <row r="455" spans="15:73" x14ac:dyDescent="0.2"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69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  <c r="AV455" s="69"/>
      <c r="AW455" s="69"/>
      <c r="AX455" s="69"/>
      <c r="AY455" s="69"/>
      <c r="AZ455" s="69"/>
      <c r="BA455" s="69"/>
      <c r="BB455" s="69"/>
      <c r="BC455" s="69"/>
      <c r="BD455" s="69"/>
      <c r="BE455" s="69"/>
      <c r="BF455" s="69"/>
      <c r="BG455" s="69"/>
      <c r="BH455" s="69"/>
      <c r="BI455" s="69"/>
      <c r="BJ455" s="69"/>
      <c r="BK455" s="69"/>
      <c r="BL455" s="69"/>
      <c r="BM455" s="69"/>
      <c r="BN455" s="69"/>
      <c r="BO455" s="69"/>
      <c r="BP455" s="69"/>
      <c r="BQ455" s="69"/>
      <c r="BR455" s="69"/>
      <c r="BS455" s="69"/>
      <c r="BT455" s="69"/>
      <c r="BU455" s="69"/>
    </row>
    <row r="456" spans="15:73" x14ac:dyDescent="0.2"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9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  <c r="AV456" s="69"/>
      <c r="AW456" s="69"/>
      <c r="AX456" s="69"/>
      <c r="AY456" s="69"/>
      <c r="AZ456" s="69"/>
      <c r="BA456" s="69"/>
      <c r="BB456" s="69"/>
      <c r="BC456" s="69"/>
      <c r="BD456" s="69"/>
      <c r="BE456" s="69"/>
      <c r="BF456" s="69"/>
      <c r="BG456" s="69"/>
      <c r="BH456" s="69"/>
      <c r="BI456" s="69"/>
      <c r="BJ456" s="69"/>
      <c r="BK456" s="69"/>
      <c r="BL456" s="69"/>
      <c r="BM456" s="69"/>
      <c r="BN456" s="69"/>
      <c r="BO456" s="69"/>
      <c r="BP456" s="69"/>
      <c r="BQ456" s="69"/>
      <c r="BR456" s="69"/>
      <c r="BS456" s="69"/>
      <c r="BT456" s="69"/>
      <c r="BU456" s="69"/>
    </row>
    <row r="457" spans="15:73" x14ac:dyDescent="0.2"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69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  <c r="AV457" s="69"/>
      <c r="AW457" s="69"/>
      <c r="AX457" s="69"/>
      <c r="AY457" s="69"/>
      <c r="AZ457" s="69"/>
      <c r="BA457" s="69"/>
      <c r="BB457" s="69"/>
      <c r="BC457" s="69"/>
      <c r="BD457" s="69"/>
      <c r="BE457" s="69"/>
      <c r="BF457" s="69"/>
      <c r="BG457" s="69"/>
      <c r="BH457" s="69"/>
      <c r="BI457" s="69"/>
      <c r="BJ457" s="69"/>
      <c r="BK457" s="69"/>
      <c r="BL457" s="69"/>
      <c r="BM457" s="69"/>
      <c r="BN457" s="69"/>
      <c r="BO457" s="69"/>
      <c r="BP457" s="69"/>
      <c r="BQ457" s="69"/>
      <c r="BR457" s="69"/>
      <c r="BS457" s="69"/>
      <c r="BT457" s="69"/>
      <c r="BU457" s="69"/>
    </row>
    <row r="458" spans="15:73" x14ac:dyDescent="0.2"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9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  <c r="AV458" s="69"/>
      <c r="AW458" s="69"/>
      <c r="AX458" s="69"/>
      <c r="AY458" s="69"/>
      <c r="AZ458" s="69"/>
      <c r="BA458" s="69"/>
      <c r="BB458" s="69"/>
      <c r="BC458" s="69"/>
      <c r="BD458" s="69"/>
      <c r="BE458" s="69"/>
      <c r="BF458" s="69"/>
      <c r="BG458" s="69"/>
      <c r="BH458" s="69"/>
      <c r="BI458" s="69"/>
      <c r="BJ458" s="69"/>
      <c r="BK458" s="69"/>
      <c r="BL458" s="69"/>
      <c r="BM458" s="69"/>
      <c r="BN458" s="69"/>
      <c r="BO458" s="69"/>
      <c r="BP458" s="69"/>
      <c r="BQ458" s="69"/>
      <c r="BR458" s="69"/>
      <c r="BS458" s="69"/>
      <c r="BT458" s="69"/>
      <c r="BU458" s="69"/>
    </row>
    <row r="459" spans="15:73" x14ac:dyDescent="0.2"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9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  <c r="AV459" s="69"/>
      <c r="AW459" s="69"/>
      <c r="AX459" s="69"/>
      <c r="AY459" s="69"/>
      <c r="AZ459" s="69"/>
      <c r="BA459" s="69"/>
      <c r="BB459" s="69"/>
      <c r="BC459" s="69"/>
      <c r="BD459" s="69"/>
      <c r="BE459" s="69"/>
      <c r="BF459" s="69"/>
      <c r="BG459" s="69"/>
      <c r="BH459" s="69"/>
      <c r="BI459" s="69"/>
      <c r="BJ459" s="69"/>
      <c r="BK459" s="69"/>
      <c r="BL459" s="69"/>
      <c r="BM459" s="69"/>
      <c r="BN459" s="69"/>
      <c r="BO459" s="69"/>
      <c r="BP459" s="69"/>
      <c r="BQ459" s="69"/>
      <c r="BR459" s="69"/>
      <c r="BS459" s="69"/>
      <c r="BT459" s="69"/>
      <c r="BU459" s="69"/>
    </row>
    <row r="460" spans="15:73" x14ac:dyDescent="0.2"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9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  <c r="AV460" s="69"/>
      <c r="AW460" s="69"/>
      <c r="AX460" s="69"/>
      <c r="AY460" s="69"/>
      <c r="AZ460" s="69"/>
      <c r="BA460" s="69"/>
      <c r="BB460" s="69"/>
      <c r="BC460" s="69"/>
      <c r="BD460" s="69"/>
      <c r="BE460" s="69"/>
      <c r="BF460" s="69"/>
      <c r="BG460" s="69"/>
      <c r="BH460" s="69"/>
      <c r="BI460" s="69"/>
      <c r="BJ460" s="69"/>
      <c r="BK460" s="69"/>
      <c r="BL460" s="69"/>
      <c r="BM460" s="69"/>
      <c r="BN460" s="69"/>
      <c r="BO460" s="69"/>
      <c r="BP460" s="69"/>
      <c r="BQ460" s="69"/>
      <c r="BR460" s="69"/>
      <c r="BS460" s="69"/>
      <c r="BT460" s="69"/>
      <c r="BU460" s="69"/>
    </row>
    <row r="461" spans="15:73" x14ac:dyDescent="0.2"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69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  <c r="AV461" s="69"/>
      <c r="AW461" s="69"/>
      <c r="AX461" s="69"/>
      <c r="AY461" s="69"/>
      <c r="AZ461" s="69"/>
      <c r="BA461" s="69"/>
      <c r="BB461" s="69"/>
      <c r="BC461" s="69"/>
      <c r="BD461" s="69"/>
      <c r="BE461" s="69"/>
      <c r="BF461" s="69"/>
      <c r="BG461" s="69"/>
      <c r="BH461" s="69"/>
      <c r="BI461" s="69"/>
      <c r="BJ461" s="69"/>
      <c r="BK461" s="69"/>
      <c r="BL461" s="69"/>
      <c r="BM461" s="69"/>
      <c r="BN461" s="69"/>
      <c r="BO461" s="69"/>
      <c r="BP461" s="69"/>
      <c r="BQ461" s="69"/>
      <c r="BR461" s="69"/>
      <c r="BS461" s="69"/>
      <c r="BT461" s="69"/>
      <c r="BU461" s="69"/>
    </row>
    <row r="462" spans="15:73" x14ac:dyDescent="0.2"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  <c r="AV462" s="69"/>
      <c r="AW462" s="69"/>
      <c r="AX462" s="69"/>
      <c r="AY462" s="69"/>
      <c r="AZ462" s="69"/>
      <c r="BA462" s="69"/>
      <c r="BB462" s="69"/>
      <c r="BC462" s="69"/>
      <c r="BD462" s="69"/>
      <c r="BE462" s="69"/>
      <c r="BF462" s="69"/>
      <c r="BG462" s="69"/>
      <c r="BH462" s="69"/>
      <c r="BI462" s="69"/>
      <c r="BJ462" s="69"/>
      <c r="BK462" s="69"/>
      <c r="BL462" s="69"/>
      <c r="BM462" s="69"/>
      <c r="BN462" s="69"/>
      <c r="BO462" s="69"/>
      <c r="BP462" s="69"/>
      <c r="BQ462" s="69"/>
      <c r="BR462" s="69"/>
      <c r="BS462" s="69"/>
      <c r="BT462" s="69"/>
      <c r="BU462" s="69"/>
    </row>
    <row r="463" spans="15:73" x14ac:dyDescent="0.2"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9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  <c r="AV463" s="69"/>
      <c r="AW463" s="69"/>
      <c r="AX463" s="69"/>
      <c r="AY463" s="69"/>
      <c r="AZ463" s="69"/>
      <c r="BA463" s="69"/>
      <c r="BB463" s="69"/>
      <c r="BC463" s="69"/>
      <c r="BD463" s="69"/>
      <c r="BE463" s="69"/>
      <c r="BF463" s="69"/>
      <c r="BG463" s="69"/>
      <c r="BH463" s="69"/>
      <c r="BI463" s="69"/>
      <c r="BJ463" s="69"/>
      <c r="BK463" s="69"/>
      <c r="BL463" s="69"/>
      <c r="BM463" s="69"/>
      <c r="BN463" s="69"/>
      <c r="BO463" s="69"/>
      <c r="BP463" s="69"/>
      <c r="BQ463" s="69"/>
      <c r="BR463" s="69"/>
      <c r="BS463" s="69"/>
      <c r="BT463" s="69"/>
      <c r="BU463" s="69"/>
    </row>
    <row r="464" spans="15:73" x14ac:dyDescent="0.2"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69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  <c r="AV464" s="69"/>
      <c r="AW464" s="69"/>
      <c r="AX464" s="69"/>
      <c r="AY464" s="69"/>
      <c r="AZ464" s="69"/>
      <c r="BA464" s="69"/>
      <c r="BB464" s="69"/>
      <c r="BC464" s="69"/>
      <c r="BD464" s="69"/>
      <c r="BE464" s="69"/>
      <c r="BF464" s="69"/>
      <c r="BG464" s="69"/>
      <c r="BH464" s="69"/>
      <c r="BI464" s="69"/>
      <c r="BJ464" s="69"/>
      <c r="BK464" s="69"/>
      <c r="BL464" s="69"/>
      <c r="BM464" s="69"/>
      <c r="BN464" s="69"/>
      <c r="BO464" s="69"/>
      <c r="BP464" s="69"/>
      <c r="BQ464" s="69"/>
      <c r="BR464" s="69"/>
      <c r="BS464" s="69"/>
      <c r="BT464" s="69"/>
      <c r="BU464" s="69"/>
    </row>
    <row r="465" spans="15:73" x14ac:dyDescent="0.2"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69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  <c r="AV465" s="69"/>
      <c r="AW465" s="69"/>
      <c r="AX465" s="69"/>
      <c r="AY465" s="69"/>
      <c r="AZ465" s="69"/>
      <c r="BA465" s="69"/>
      <c r="BB465" s="69"/>
      <c r="BC465" s="69"/>
      <c r="BD465" s="69"/>
      <c r="BE465" s="69"/>
      <c r="BF465" s="69"/>
      <c r="BG465" s="69"/>
      <c r="BH465" s="69"/>
      <c r="BI465" s="69"/>
      <c r="BJ465" s="69"/>
      <c r="BK465" s="69"/>
      <c r="BL465" s="69"/>
      <c r="BM465" s="69"/>
      <c r="BN465" s="69"/>
      <c r="BO465" s="69"/>
      <c r="BP465" s="69"/>
      <c r="BQ465" s="69"/>
      <c r="BR465" s="69"/>
      <c r="BS465" s="69"/>
      <c r="BT465" s="69"/>
      <c r="BU465" s="69"/>
    </row>
    <row r="466" spans="15:73" x14ac:dyDescent="0.2"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9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  <c r="AV466" s="69"/>
      <c r="AW466" s="69"/>
      <c r="AX466" s="69"/>
      <c r="AY466" s="69"/>
      <c r="AZ466" s="69"/>
      <c r="BA466" s="69"/>
      <c r="BB466" s="69"/>
      <c r="BC466" s="69"/>
      <c r="BD466" s="69"/>
      <c r="BE466" s="69"/>
      <c r="BF466" s="69"/>
      <c r="BG466" s="69"/>
      <c r="BH466" s="69"/>
      <c r="BI466" s="69"/>
      <c r="BJ466" s="69"/>
      <c r="BK466" s="69"/>
      <c r="BL466" s="69"/>
      <c r="BM466" s="69"/>
      <c r="BN466" s="69"/>
      <c r="BO466" s="69"/>
      <c r="BP466" s="69"/>
      <c r="BQ466" s="69"/>
      <c r="BR466" s="69"/>
      <c r="BS466" s="69"/>
      <c r="BT466" s="69"/>
      <c r="BU466" s="69"/>
    </row>
    <row r="467" spans="15:73" x14ac:dyDescent="0.2"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9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  <c r="AV467" s="69"/>
      <c r="AW467" s="69"/>
      <c r="AX467" s="69"/>
      <c r="AY467" s="69"/>
      <c r="AZ467" s="69"/>
      <c r="BA467" s="69"/>
      <c r="BB467" s="69"/>
      <c r="BC467" s="69"/>
      <c r="BD467" s="69"/>
      <c r="BE467" s="69"/>
      <c r="BF467" s="69"/>
      <c r="BG467" s="69"/>
      <c r="BH467" s="69"/>
      <c r="BI467" s="69"/>
      <c r="BJ467" s="69"/>
      <c r="BK467" s="69"/>
      <c r="BL467" s="69"/>
      <c r="BM467" s="69"/>
      <c r="BN467" s="69"/>
      <c r="BO467" s="69"/>
      <c r="BP467" s="69"/>
      <c r="BQ467" s="69"/>
      <c r="BR467" s="69"/>
      <c r="BS467" s="69"/>
      <c r="BT467" s="69"/>
      <c r="BU467" s="69"/>
    </row>
    <row r="468" spans="15:73" x14ac:dyDescent="0.2"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69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  <c r="AV468" s="69"/>
      <c r="AW468" s="69"/>
      <c r="AX468" s="69"/>
      <c r="AY468" s="69"/>
      <c r="AZ468" s="69"/>
      <c r="BA468" s="69"/>
      <c r="BB468" s="69"/>
      <c r="BC468" s="69"/>
      <c r="BD468" s="69"/>
      <c r="BE468" s="69"/>
      <c r="BF468" s="69"/>
      <c r="BG468" s="69"/>
      <c r="BH468" s="69"/>
      <c r="BI468" s="69"/>
      <c r="BJ468" s="69"/>
      <c r="BK468" s="69"/>
      <c r="BL468" s="69"/>
      <c r="BM468" s="69"/>
      <c r="BN468" s="69"/>
      <c r="BO468" s="69"/>
      <c r="BP468" s="69"/>
      <c r="BQ468" s="69"/>
      <c r="BR468" s="69"/>
      <c r="BS468" s="69"/>
      <c r="BT468" s="69"/>
      <c r="BU468" s="69"/>
    </row>
    <row r="469" spans="15:73" x14ac:dyDescent="0.2"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  <c r="AV469" s="69"/>
      <c r="AW469" s="69"/>
      <c r="AX469" s="69"/>
      <c r="AY469" s="69"/>
      <c r="AZ469" s="69"/>
      <c r="BA469" s="69"/>
      <c r="BB469" s="69"/>
      <c r="BC469" s="69"/>
      <c r="BD469" s="69"/>
      <c r="BE469" s="69"/>
      <c r="BF469" s="69"/>
      <c r="BG469" s="69"/>
      <c r="BH469" s="69"/>
      <c r="BI469" s="69"/>
      <c r="BJ469" s="69"/>
      <c r="BK469" s="69"/>
      <c r="BL469" s="69"/>
      <c r="BM469" s="69"/>
      <c r="BN469" s="69"/>
      <c r="BO469" s="69"/>
      <c r="BP469" s="69"/>
      <c r="BQ469" s="69"/>
      <c r="BR469" s="69"/>
      <c r="BS469" s="69"/>
      <c r="BT469" s="69"/>
      <c r="BU469" s="69"/>
    </row>
    <row r="470" spans="15:73" x14ac:dyDescent="0.2"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9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  <c r="AV470" s="69"/>
      <c r="AW470" s="69"/>
      <c r="AX470" s="69"/>
      <c r="AY470" s="69"/>
      <c r="AZ470" s="69"/>
      <c r="BA470" s="69"/>
      <c r="BB470" s="69"/>
      <c r="BC470" s="69"/>
      <c r="BD470" s="69"/>
      <c r="BE470" s="69"/>
      <c r="BF470" s="69"/>
      <c r="BG470" s="69"/>
      <c r="BH470" s="69"/>
      <c r="BI470" s="69"/>
      <c r="BJ470" s="69"/>
      <c r="BK470" s="69"/>
      <c r="BL470" s="69"/>
      <c r="BM470" s="69"/>
      <c r="BN470" s="69"/>
      <c r="BO470" s="69"/>
      <c r="BP470" s="69"/>
      <c r="BQ470" s="69"/>
      <c r="BR470" s="69"/>
      <c r="BS470" s="69"/>
      <c r="BT470" s="69"/>
      <c r="BU470" s="69"/>
    </row>
    <row r="471" spans="15:73" x14ac:dyDescent="0.2"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69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  <c r="AV471" s="69"/>
      <c r="AW471" s="69"/>
      <c r="AX471" s="69"/>
      <c r="AY471" s="69"/>
      <c r="AZ471" s="69"/>
      <c r="BA471" s="69"/>
      <c r="BB471" s="69"/>
      <c r="BC471" s="69"/>
      <c r="BD471" s="69"/>
      <c r="BE471" s="69"/>
      <c r="BF471" s="69"/>
      <c r="BG471" s="69"/>
      <c r="BH471" s="69"/>
      <c r="BI471" s="69"/>
      <c r="BJ471" s="69"/>
      <c r="BK471" s="69"/>
      <c r="BL471" s="69"/>
      <c r="BM471" s="69"/>
      <c r="BN471" s="69"/>
      <c r="BO471" s="69"/>
      <c r="BP471" s="69"/>
      <c r="BQ471" s="69"/>
      <c r="BR471" s="69"/>
      <c r="BS471" s="69"/>
      <c r="BT471" s="69"/>
      <c r="BU471" s="69"/>
    </row>
    <row r="472" spans="15:73" x14ac:dyDescent="0.2"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  <c r="AV472" s="69"/>
      <c r="AW472" s="69"/>
      <c r="AX472" s="69"/>
      <c r="AY472" s="69"/>
      <c r="AZ472" s="69"/>
      <c r="BA472" s="69"/>
      <c r="BB472" s="69"/>
      <c r="BC472" s="69"/>
      <c r="BD472" s="69"/>
      <c r="BE472" s="69"/>
      <c r="BF472" s="69"/>
      <c r="BG472" s="69"/>
      <c r="BH472" s="69"/>
      <c r="BI472" s="69"/>
      <c r="BJ472" s="69"/>
      <c r="BK472" s="69"/>
      <c r="BL472" s="69"/>
      <c r="BM472" s="69"/>
      <c r="BN472" s="69"/>
      <c r="BO472" s="69"/>
      <c r="BP472" s="69"/>
      <c r="BQ472" s="69"/>
      <c r="BR472" s="69"/>
      <c r="BS472" s="69"/>
      <c r="BT472" s="69"/>
      <c r="BU472" s="69"/>
    </row>
    <row r="473" spans="15:73" x14ac:dyDescent="0.2"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  <c r="AG473" s="69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  <c r="AV473" s="69"/>
      <c r="AW473" s="69"/>
      <c r="AX473" s="69"/>
      <c r="AY473" s="69"/>
      <c r="AZ473" s="69"/>
      <c r="BA473" s="69"/>
      <c r="BB473" s="69"/>
      <c r="BC473" s="69"/>
      <c r="BD473" s="69"/>
      <c r="BE473" s="69"/>
      <c r="BF473" s="69"/>
      <c r="BG473" s="69"/>
      <c r="BH473" s="69"/>
      <c r="BI473" s="69"/>
      <c r="BJ473" s="69"/>
      <c r="BK473" s="69"/>
      <c r="BL473" s="69"/>
      <c r="BM473" s="69"/>
      <c r="BN473" s="69"/>
      <c r="BO473" s="69"/>
      <c r="BP473" s="69"/>
      <c r="BQ473" s="69"/>
      <c r="BR473" s="69"/>
      <c r="BS473" s="69"/>
      <c r="BT473" s="69"/>
      <c r="BU473" s="69"/>
    </row>
    <row r="474" spans="15:73" x14ac:dyDescent="0.2"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  <c r="AG474" s="69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  <c r="AV474" s="69"/>
      <c r="AW474" s="69"/>
      <c r="AX474" s="69"/>
      <c r="AY474" s="69"/>
      <c r="AZ474" s="69"/>
      <c r="BA474" s="69"/>
      <c r="BB474" s="69"/>
      <c r="BC474" s="69"/>
      <c r="BD474" s="69"/>
      <c r="BE474" s="69"/>
      <c r="BF474" s="69"/>
      <c r="BG474" s="69"/>
      <c r="BH474" s="69"/>
      <c r="BI474" s="69"/>
      <c r="BJ474" s="69"/>
      <c r="BK474" s="69"/>
      <c r="BL474" s="69"/>
      <c r="BM474" s="69"/>
      <c r="BN474" s="69"/>
      <c r="BO474" s="69"/>
      <c r="BP474" s="69"/>
      <c r="BQ474" s="69"/>
      <c r="BR474" s="69"/>
      <c r="BS474" s="69"/>
      <c r="BT474" s="69"/>
      <c r="BU474" s="69"/>
    </row>
    <row r="475" spans="15:73" x14ac:dyDescent="0.2"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  <c r="AG475" s="69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  <c r="AV475" s="69"/>
      <c r="AW475" s="69"/>
      <c r="AX475" s="69"/>
      <c r="AY475" s="69"/>
      <c r="AZ475" s="69"/>
      <c r="BA475" s="69"/>
      <c r="BB475" s="69"/>
      <c r="BC475" s="69"/>
      <c r="BD475" s="69"/>
      <c r="BE475" s="69"/>
      <c r="BF475" s="69"/>
      <c r="BG475" s="69"/>
      <c r="BH475" s="69"/>
      <c r="BI475" s="69"/>
      <c r="BJ475" s="69"/>
      <c r="BK475" s="69"/>
      <c r="BL475" s="69"/>
      <c r="BM475" s="69"/>
      <c r="BN475" s="69"/>
      <c r="BO475" s="69"/>
      <c r="BP475" s="69"/>
      <c r="BQ475" s="69"/>
      <c r="BR475" s="69"/>
      <c r="BS475" s="69"/>
      <c r="BT475" s="69"/>
      <c r="BU475" s="69"/>
    </row>
    <row r="476" spans="15:73" x14ac:dyDescent="0.2"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D476" s="69"/>
      <c r="AE476" s="69"/>
      <c r="AF476" s="69"/>
      <c r="AG476" s="69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  <c r="AV476" s="69"/>
      <c r="AW476" s="69"/>
      <c r="AX476" s="69"/>
      <c r="AY476" s="69"/>
      <c r="AZ476" s="69"/>
      <c r="BA476" s="69"/>
      <c r="BB476" s="69"/>
      <c r="BC476" s="69"/>
      <c r="BD476" s="69"/>
      <c r="BE476" s="69"/>
      <c r="BF476" s="69"/>
      <c r="BG476" s="69"/>
      <c r="BH476" s="69"/>
      <c r="BI476" s="69"/>
      <c r="BJ476" s="69"/>
      <c r="BK476" s="69"/>
      <c r="BL476" s="69"/>
      <c r="BM476" s="69"/>
      <c r="BN476" s="69"/>
      <c r="BO476" s="69"/>
      <c r="BP476" s="69"/>
      <c r="BQ476" s="69"/>
      <c r="BR476" s="69"/>
      <c r="BS476" s="69"/>
      <c r="BT476" s="69"/>
      <c r="BU476" s="69"/>
    </row>
    <row r="477" spans="15:73" x14ac:dyDescent="0.2"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  <c r="AG477" s="69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  <c r="AV477" s="69"/>
      <c r="AW477" s="69"/>
      <c r="AX477" s="69"/>
      <c r="AY477" s="69"/>
      <c r="AZ477" s="69"/>
      <c r="BA477" s="69"/>
      <c r="BB477" s="69"/>
      <c r="BC477" s="69"/>
      <c r="BD477" s="69"/>
      <c r="BE477" s="69"/>
      <c r="BF477" s="69"/>
      <c r="BG477" s="69"/>
      <c r="BH477" s="69"/>
      <c r="BI477" s="69"/>
      <c r="BJ477" s="69"/>
      <c r="BK477" s="69"/>
      <c r="BL477" s="69"/>
      <c r="BM477" s="69"/>
      <c r="BN477" s="69"/>
      <c r="BO477" s="69"/>
      <c r="BP477" s="69"/>
      <c r="BQ477" s="69"/>
      <c r="BR477" s="69"/>
      <c r="BS477" s="69"/>
      <c r="BT477" s="69"/>
      <c r="BU477" s="69"/>
    </row>
    <row r="478" spans="15:73" x14ac:dyDescent="0.2"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  <c r="AG478" s="69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  <c r="AV478" s="69"/>
      <c r="AW478" s="69"/>
      <c r="AX478" s="69"/>
      <c r="AY478" s="69"/>
      <c r="AZ478" s="69"/>
      <c r="BA478" s="69"/>
      <c r="BB478" s="69"/>
      <c r="BC478" s="69"/>
      <c r="BD478" s="69"/>
      <c r="BE478" s="69"/>
      <c r="BF478" s="69"/>
      <c r="BG478" s="69"/>
      <c r="BH478" s="69"/>
      <c r="BI478" s="69"/>
      <c r="BJ478" s="69"/>
      <c r="BK478" s="69"/>
      <c r="BL478" s="69"/>
      <c r="BM478" s="69"/>
      <c r="BN478" s="69"/>
      <c r="BO478" s="69"/>
      <c r="BP478" s="69"/>
      <c r="BQ478" s="69"/>
      <c r="BR478" s="69"/>
      <c r="BS478" s="69"/>
      <c r="BT478" s="69"/>
      <c r="BU478" s="69"/>
    </row>
    <row r="479" spans="15:73" x14ac:dyDescent="0.2"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D479" s="69"/>
      <c r="AE479" s="69"/>
      <c r="AF479" s="69"/>
      <c r="AG479" s="69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  <c r="AV479" s="69"/>
      <c r="AW479" s="69"/>
      <c r="AX479" s="69"/>
      <c r="AY479" s="69"/>
      <c r="AZ479" s="69"/>
      <c r="BA479" s="69"/>
      <c r="BB479" s="69"/>
      <c r="BC479" s="69"/>
      <c r="BD479" s="69"/>
      <c r="BE479" s="69"/>
      <c r="BF479" s="69"/>
      <c r="BG479" s="69"/>
      <c r="BH479" s="69"/>
      <c r="BI479" s="69"/>
      <c r="BJ479" s="69"/>
      <c r="BK479" s="69"/>
      <c r="BL479" s="69"/>
      <c r="BM479" s="69"/>
      <c r="BN479" s="69"/>
      <c r="BO479" s="69"/>
      <c r="BP479" s="69"/>
      <c r="BQ479" s="69"/>
      <c r="BR479" s="69"/>
      <c r="BS479" s="69"/>
      <c r="BT479" s="69"/>
      <c r="BU479" s="69"/>
    </row>
    <row r="480" spans="15:73" x14ac:dyDescent="0.2"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D480" s="69"/>
      <c r="AE480" s="69"/>
      <c r="AF480" s="69"/>
      <c r="AG480" s="69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  <c r="AV480" s="69"/>
      <c r="AW480" s="69"/>
      <c r="AX480" s="69"/>
      <c r="AY480" s="69"/>
      <c r="AZ480" s="69"/>
      <c r="BA480" s="69"/>
      <c r="BB480" s="69"/>
      <c r="BC480" s="69"/>
      <c r="BD480" s="69"/>
      <c r="BE480" s="69"/>
      <c r="BF480" s="69"/>
      <c r="BG480" s="69"/>
      <c r="BH480" s="69"/>
      <c r="BI480" s="69"/>
      <c r="BJ480" s="69"/>
      <c r="BK480" s="69"/>
      <c r="BL480" s="69"/>
      <c r="BM480" s="69"/>
      <c r="BN480" s="69"/>
      <c r="BO480" s="69"/>
      <c r="BP480" s="69"/>
      <c r="BQ480" s="69"/>
      <c r="BR480" s="69"/>
      <c r="BS480" s="69"/>
      <c r="BT480" s="69"/>
      <c r="BU480" s="69"/>
    </row>
    <row r="481" spans="15:73" x14ac:dyDescent="0.2"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  <c r="AG481" s="69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  <c r="AV481" s="69"/>
      <c r="AW481" s="69"/>
      <c r="AX481" s="69"/>
      <c r="AY481" s="69"/>
      <c r="AZ481" s="69"/>
      <c r="BA481" s="69"/>
      <c r="BB481" s="69"/>
      <c r="BC481" s="69"/>
      <c r="BD481" s="69"/>
      <c r="BE481" s="69"/>
      <c r="BF481" s="69"/>
      <c r="BG481" s="69"/>
      <c r="BH481" s="69"/>
      <c r="BI481" s="69"/>
      <c r="BJ481" s="69"/>
      <c r="BK481" s="69"/>
      <c r="BL481" s="69"/>
      <c r="BM481" s="69"/>
      <c r="BN481" s="69"/>
      <c r="BO481" s="69"/>
      <c r="BP481" s="69"/>
      <c r="BQ481" s="69"/>
      <c r="BR481" s="69"/>
      <c r="BS481" s="69"/>
      <c r="BT481" s="69"/>
      <c r="BU481" s="69"/>
    </row>
    <row r="482" spans="15:73" x14ac:dyDescent="0.2"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  <c r="AG482" s="69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  <c r="AV482" s="69"/>
      <c r="AW482" s="69"/>
      <c r="AX482" s="69"/>
      <c r="AY482" s="69"/>
      <c r="AZ482" s="69"/>
      <c r="BA482" s="69"/>
      <c r="BB482" s="69"/>
      <c r="BC482" s="69"/>
      <c r="BD482" s="69"/>
      <c r="BE482" s="69"/>
      <c r="BF482" s="69"/>
      <c r="BG482" s="69"/>
      <c r="BH482" s="69"/>
      <c r="BI482" s="69"/>
      <c r="BJ482" s="69"/>
      <c r="BK482" s="69"/>
      <c r="BL482" s="69"/>
      <c r="BM482" s="69"/>
      <c r="BN482" s="69"/>
      <c r="BO482" s="69"/>
      <c r="BP482" s="69"/>
      <c r="BQ482" s="69"/>
      <c r="BR482" s="69"/>
      <c r="BS482" s="69"/>
      <c r="BT482" s="69"/>
      <c r="BU482" s="69"/>
    </row>
    <row r="483" spans="15:73" x14ac:dyDescent="0.2"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D483" s="69"/>
      <c r="AE483" s="69"/>
      <c r="AF483" s="69"/>
      <c r="AG483" s="69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  <c r="AV483" s="69"/>
      <c r="AW483" s="69"/>
      <c r="AX483" s="69"/>
      <c r="AY483" s="69"/>
      <c r="AZ483" s="69"/>
      <c r="BA483" s="69"/>
      <c r="BB483" s="69"/>
      <c r="BC483" s="69"/>
      <c r="BD483" s="69"/>
      <c r="BE483" s="69"/>
      <c r="BF483" s="69"/>
      <c r="BG483" s="69"/>
      <c r="BH483" s="69"/>
      <c r="BI483" s="69"/>
      <c r="BJ483" s="69"/>
      <c r="BK483" s="69"/>
      <c r="BL483" s="69"/>
      <c r="BM483" s="69"/>
      <c r="BN483" s="69"/>
      <c r="BO483" s="69"/>
      <c r="BP483" s="69"/>
      <c r="BQ483" s="69"/>
      <c r="BR483" s="69"/>
      <c r="BS483" s="69"/>
      <c r="BT483" s="69"/>
      <c r="BU483" s="69"/>
    </row>
    <row r="484" spans="15:73" x14ac:dyDescent="0.2"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  <c r="AG484" s="69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  <c r="AV484" s="69"/>
      <c r="AW484" s="69"/>
      <c r="AX484" s="69"/>
      <c r="AY484" s="69"/>
      <c r="AZ484" s="69"/>
      <c r="BA484" s="69"/>
      <c r="BB484" s="69"/>
      <c r="BC484" s="69"/>
      <c r="BD484" s="69"/>
      <c r="BE484" s="69"/>
      <c r="BF484" s="69"/>
      <c r="BG484" s="69"/>
      <c r="BH484" s="69"/>
      <c r="BI484" s="69"/>
      <c r="BJ484" s="69"/>
      <c r="BK484" s="69"/>
      <c r="BL484" s="69"/>
      <c r="BM484" s="69"/>
      <c r="BN484" s="69"/>
      <c r="BO484" s="69"/>
      <c r="BP484" s="69"/>
      <c r="BQ484" s="69"/>
      <c r="BR484" s="69"/>
      <c r="BS484" s="69"/>
      <c r="BT484" s="69"/>
      <c r="BU484" s="69"/>
    </row>
    <row r="485" spans="15:73" x14ac:dyDescent="0.2"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  <c r="AG485" s="69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  <c r="AV485" s="69"/>
      <c r="AW485" s="69"/>
      <c r="AX485" s="69"/>
      <c r="AY485" s="69"/>
      <c r="AZ485" s="69"/>
      <c r="BA485" s="69"/>
      <c r="BB485" s="69"/>
      <c r="BC485" s="69"/>
      <c r="BD485" s="69"/>
      <c r="BE485" s="69"/>
      <c r="BF485" s="69"/>
      <c r="BG485" s="69"/>
      <c r="BH485" s="69"/>
      <c r="BI485" s="69"/>
      <c r="BJ485" s="69"/>
      <c r="BK485" s="69"/>
      <c r="BL485" s="69"/>
      <c r="BM485" s="69"/>
      <c r="BN485" s="69"/>
      <c r="BO485" s="69"/>
      <c r="BP485" s="69"/>
      <c r="BQ485" s="69"/>
      <c r="BR485" s="69"/>
      <c r="BS485" s="69"/>
      <c r="BT485" s="69"/>
      <c r="BU485" s="69"/>
    </row>
    <row r="486" spans="15:73" x14ac:dyDescent="0.2"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D486" s="69"/>
      <c r="AE486" s="69"/>
      <c r="AF486" s="69"/>
      <c r="AG486" s="69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  <c r="AV486" s="69"/>
      <c r="AW486" s="69"/>
      <c r="AX486" s="69"/>
      <c r="AY486" s="69"/>
      <c r="AZ486" s="69"/>
      <c r="BA486" s="69"/>
      <c r="BB486" s="69"/>
      <c r="BC486" s="69"/>
      <c r="BD486" s="69"/>
      <c r="BE486" s="69"/>
      <c r="BF486" s="69"/>
      <c r="BG486" s="69"/>
      <c r="BH486" s="69"/>
      <c r="BI486" s="69"/>
      <c r="BJ486" s="69"/>
      <c r="BK486" s="69"/>
      <c r="BL486" s="69"/>
      <c r="BM486" s="69"/>
      <c r="BN486" s="69"/>
      <c r="BO486" s="69"/>
      <c r="BP486" s="69"/>
      <c r="BQ486" s="69"/>
      <c r="BR486" s="69"/>
      <c r="BS486" s="69"/>
      <c r="BT486" s="69"/>
      <c r="BU486" s="69"/>
    </row>
    <row r="487" spans="15:73" x14ac:dyDescent="0.2"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D487" s="69"/>
      <c r="AE487" s="69"/>
      <c r="AF487" s="69"/>
      <c r="AG487" s="69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  <c r="AV487" s="69"/>
      <c r="AW487" s="69"/>
      <c r="AX487" s="69"/>
      <c r="AY487" s="69"/>
      <c r="AZ487" s="69"/>
      <c r="BA487" s="69"/>
      <c r="BB487" s="69"/>
      <c r="BC487" s="69"/>
      <c r="BD487" s="69"/>
      <c r="BE487" s="69"/>
      <c r="BF487" s="69"/>
      <c r="BG487" s="69"/>
      <c r="BH487" s="69"/>
      <c r="BI487" s="69"/>
      <c r="BJ487" s="69"/>
      <c r="BK487" s="69"/>
      <c r="BL487" s="69"/>
      <c r="BM487" s="69"/>
      <c r="BN487" s="69"/>
      <c r="BO487" s="69"/>
      <c r="BP487" s="69"/>
      <c r="BQ487" s="69"/>
      <c r="BR487" s="69"/>
      <c r="BS487" s="69"/>
      <c r="BT487" s="69"/>
      <c r="BU487" s="69"/>
    </row>
    <row r="488" spans="15:73" x14ac:dyDescent="0.2"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D488" s="69"/>
      <c r="AE488" s="69"/>
      <c r="AF488" s="69"/>
      <c r="AG488" s="69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  <c r="AV488" s="69"/>
      <c r="AW488" s="69"/>
      <c r="AX488" s="69"/>
      <c r="AY488" s="69"/>
      <c r="AZ488" s="69"/>
      <c r="BA488" s="69"/>
      <c r="BB488" s="69"/>
      <c r="BC488" s="69"/>
      <c r="BD488" s="69"/>
      <c r="BE488" s="69"/>
      <c r="BF488" s="69"/>
      <c r="BG488" s="69"/>
      <c r="BH488" s="69"/>
      <c r="BI488" s="69"/>
      <c r="BJ488" s="69"/>
      <c r="BK488" s="69"/>
      <c r="BL488" s="69"/>
      <c r="BM488" s="69"/>
      <c r="BN488" s="69"/>
      <c r="BO488" s="69"/>
      <c r="BP488" s="69"/>
      <c r="BQ488" s="69"/>
      <c r="BR488" s="69"/>
      <c r="BS488" s="69"/>
      <c r="BT488" s="69"/>
      <c r="BU488" s="69"/>
    </row>
    <row r="489" spans="15:73" x14ac:dyDescent="0.2"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  <c r="AG489" s="69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  <c r="AV489" s="69"/>
      <c r="AW489" s="69"/>
      <c r="AX489" s="69"/>
      <c r="AY489" s="69"/>
      <c r="AZ489" s="69"/>
      <c r="BA489" s="69"/>
      <c r="BB489" s="69"/>
      <c r="BC489" s="69"/>
      <c r="BD489" s="69"/>
      <c r="BE489" s="69"/>
      <c r="BF489" s="69"/>
      <c r="BG489" s="69"/>
      <c r="BH489" s="69"/>
      <c r="BI489" s="69"/>
      <c r="BJ489" s="69"/>
      <c r="BK489" s="69"/>
      <c r="BL489" s="69"/>
      <c r="BM489" s="69"/>
      <c r="BN489" s="69"/>
      <c r="BO489" s="69"/>
      <c r="BP489" s="69"/>
      <c r="BQ489" s="69"/>
      <c r="BR489" s="69"/>
      <c r="BS489" s="69"/>
      <c r="BT489" s="69"/>
      <c r="BU489" s="69"/>
    </row>
    <row r="490" spans="15:73" x14ac:dyDescent="0.2"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  <c r="AG490" s="69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  <c r="AV490" s="69"/>
      <c r="AW490" s="69"/>
      <c r="AX490" s="69"/>
      <c r="AY490" s="69"/>
      <c r="AZ490" s="69"/>
      <c r="BA490" s="69"/>
      <c r="BB490" s="69"/>
      <c r="BC490" s="69"/>
      <c r="BD490" s="69"/>
      <c r="BE490" s="69"/>
      <c r="BF490" s="69"/>
      <c r="BG490" s="69"/>
      <c r="BH490" s="69"/>
      <c r="BI490" s="69"/>
      <c r="BJ490" s="69"/>
      <c r="BK490" s="69"/>
      <c r="BL490" s="69"/>
      <c r="BM490" s="69"/>
      <c r="BN490" s="69"/>
      <c r="BO490" s="69"/>
      <c r="BP490" s="69"/>
      <c r="BQ490" s="69"/>
      <c r="BR490" s="69"/>
      <c r="BS490" s="69"/>
      <c r="BT490" s="69"/>
      <c r="BU490" s="69"/>
    </row>
    <row r="491" spans="15:73" x14ac:dyDescent="0.2"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D491" s="69"/>
      <c r="AE491" s="69"/>
      <c r="AF491" s="69"/>
      <c r="AG491" s="69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  <c r="AV491" s="69"/>
      <c r="AW491" s="69"/>
      <c r="AX491" s="69"/>
      <c r="AY491" s="69"/>
      <c r="AZ491" s="69"/>
      <c r="BA491" s="69"/>
      <c r="BB491" s="69"/>
      <c r="BC491" s="69"/>
      <c r="BD491" s="69"/>
      <c r="BE491" s="69"/>
      <c r="BF491" s="69"/>
      <c r="BG491" s="69"/>
      <c r="BH491" s="69"/>
      <c r="BI491" s="69"/>
      <c r="BJ491" s="69"/>
      <c r="BK491" s="69"/>
      <c r="BL491" s="69"/>
      <c r="BM491" s="69"/>
      <c r="BN491" s="69"/>
      <c r="BO491" s="69"/>
      <c r="BP491" s="69"/>
      <c r="BQ491" s="69"/>
      <c r="BR491" s="69"/>
      <c r="BS491" s="69"/>
      <c r="BT491" s="69"/>
      <c r="BU491" s="69"/>
    </row>
    <row r="492" spans="15:73" x14ac:dyDescent="0.2"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  <c r="AG492" s="69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  <c r="AV492" s="69"/>
      <c r="AW492" s="69"/>
      <c r="AX492" s="69"/>
      <c r="AY492" s="69"/>
      <c r="AZ492" s="69"/>
      <c r="BA492" s="69"/>
      <c r="BB492" s="69"/>
      <c r="BC492" s="69"/>
      <c r="BD492" s="69"/>
      <c r="BE492" s="69"/>
      <c r="BF492" s="69"/>
      <c r="BG492" s="69"/>
      <c r="BH492" s="69"/>
      <c r="BI492" s="69"/>
      <c r="BJ492" s="69"/>
      <c r="BK492" s="69"/>
      <c r="BL492" s="69"/>
      <c r="BM492" s="69"/>
      <c r="BN492" s="69"/>
      <c r="BO492" s="69"/>
      <c r="BP492" s="69"/>
      <c r="BQ492" s="69"/>
      <c r="BR492" s="69"/>
      <c r="BS492" s="69"/>
      <c r="BT492" s="69"/>
      <c r="BU492" s="69"/>
    </row>
    <row r="493" spans="15:73" x14ac:dyDescent="0.2"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  <c r="AG493" s="69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  <c r="AV493" s="69"/>
      <c r="AW493" s="69"/>
      <c r="AX493" s="69"/>
      <c r="AY493" s="69"/>
      <c r="AZ493" s="69"/>
      <c r="BA493" s="69"/>
      <c r="BB493" s="69"/>
      <c r="BC493" s="69"/>
      <c r="BD493" s="69"/>
      <c r="BE493" s="69"/>
      <c r="BF493" s="69"/>
      <c r="BG493" s="69"/>
      <c r="BH493" s="69"/>
      <c r="BI493" s="69"/>
      <c r="BJ493" s="69"/>
      <c r="BK493" s="69"/>
      <c r="BL493" s="69"/>
      <c r="BM493" s="69"/>
      <c r="BN493" s="69"/>
      <c r="BO493" s="69"/>
      <c r="BP493" s="69"/>
      <c r="BQ493" s="69"/>
      <c r="BR493" s="69"/>
      <c r="BS493" s="69"/>
      <c r="BT493" s="69"/>
      <c r="BU493" s="69"/>
    </row>
    <row r="494" spans="15:73" x14ac:dyDescent="0.2"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D494" s="69"/>
      <c r="AE494" s="69"/>
      <c r="AF494" s="69"/>
      <c r="AG494" s="69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  <c r="AV494" s="69"/>
      <c r="AW494" s="69"/>
      <c r="AX494" s="69"/>
      <c r="AY494" s="69"/>
      <c r="AZ494" s="69"/>
      <c r="BA494" s="69"/>
      <c r="BB494" s="69"/>
      <c r="BC494" s="69"/>
      <c r="BD494" s="69"/>
      <c r="BE494" s="69"/>
      <c r="BF494" s="69"/>
      <c r="BG494" s="69"/>
      <c r="BH494" s="69"/>
      <c r="BI494" s="69"/>
      <c r="BJ494" s="69"/>
      <c r="BK494" s="69"/>
      <c r="BL494" s="69"/>
      <c r="BM494" s="69"/>
      <c r="BN494" s="69"/>
      <c r="BO494" s="69"/>
      <c r="BP494" s="69"/>
      <c r="BQ494" s="69"/>
      <c r="BR494" s="69"/>
      <c r="BS494" s="69"/>
      <c r="BT494" s="69"/>
      <c r="BU494" s="69"/>
    </row>
    <row r="495" spans="15:73" x14ac:dyDescent="0.2"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D495" s="69"/>
      <c r="AE495" s="69"/>
      <c r="AF495" s="69"/>
      <c r="AG495" s="69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  <c r="AV495" s="69"/>
      <c r="AW495" s="69"/>
      <c r="AX495" s="69"/>
      <c r="AY495" s="69"/>
      <c r="AZ495" s="69"/>
      <c r="BA495" s="69"/>
      <c r="BB495" s="69"/>
      <c r="BC495" s="69"/>
      <c r="BD495" s="69"/>
      <c r="BE495" s="69"/>
      <c r="BF495" s="69"/>
      <c r="BG495" s="69"/>
      <c r="BH495" s="69"/>
      <c r="BI495" s="69"/>
      <c r="BJ495" s="69"/>
      <c r="BK495" s="69"/>
      <c r="BL495" s="69"/>
      <c r="BM495" s="69"/>
      <c r="BN495" s="69"/>
      <c r="BO495" s="69"/>
      <c r="BP495" s="69"/>
      <c r="BQ495" s="69"/>
      <c r="BR495" s="69"/>
      <c r="BS495" s="69"/>
      <c r="BT495" s="69"/>
      <c r="BU495" s="69"/>
    </row>
    <row r="496" spans="15:73" x14ac:dyDescent="0.2"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  <c r="AG496" s="69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  <c r="AV496" s="69"/>
      <c r="AW496" s="69"/>
      <c r="AX496" s="69"/>
      <c r="AY496" s="69"/>
      <c r="AZ496" s="69"/>
      <c r="BA496" s="69"/>
      <c r="BB496" s="69"/>
      <c r="BC496" s="69"/>
      <c r="BD496" s="69"/>
      <c r="BE496" s="69"/>
      <c r="BF496" s="69"/>
      <c r="BG496" s="69"/>
      <c r="BH496" s="69"/>
      <c r="BI496" s="69"/>
      <c r="BJ496" s="69"/>
      <c r="BK496" s="69"/>
      <c r="BL496" s="69"/>
      <c r="BM496" s="69"/>
      <c r="BN496" s="69"/>
      <c r="BO496" s="69"/>
      <c r="BP496" s="69"/>
      <c r="BQ496" s="69"/>
      <c r="BR496" s="69"/>
      <c r="BS496" s="69"/>
      <c r="BT496" s="69"/>
      <c r="BU496" s="69"/>
    </row>
    <row r="497" spans="15:73" x14ac:dyDescent="0.2"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D497" s="69"/>
      <c r="AE497" s="69"/>
      <c r="AF497" s="69"/>
      <c r="AG497" s="69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  <c r="AV497" s="69"/>
      <c r="AW497" s="69"/>
      <c r="AX497" s="69"/>
      <c r="AY497" s="69"/>
      <c r="AZ497" s="69"/>
      <c r="BA497" s="69"/>
      <c r="BB497" s="69"/>
      <c r="BC497" s="69"/>
      <c r="BD497" s="69"/>
      <c r="BE497" s="69"/>
      <c r="BF497" s="69"/>
      <c r="BG497" s="69"/>
      <c r="BH497" s="69"/>
      <c r="BI497" s="69"/>
      <c r="BJ497" s="69"/>
      <c r="BK497" s="69"/>
      <c r="BL497" s="69"/>
      <c r="BM497" s="69"/>
      <c r="BN497" s="69"/>
      <c r="BO497" s="69"/>
      <c r="BP497" s="69"/>
      <c r="BQ497" s="69"/>
      <c r="BR497" s="69"/>
      <c r="BS497" s="69"/>
      <c r="BT497" s="69"/>
      <c r="BU497" s="69"/>
    </row>
    <row r="498" spans="15:73" x14ac:dyDescent="0.2"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D498" s="69"/>
      <c r="AE498" s="69"/>
      <c r="AF498" s="69"/>
      <c r="AG498" s="69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  <c r="AV498" s="69"/>
      <c r="AW498" s="69"/>
      <c r="AX498" s="69"/>
      <c r="AY498" s="69"/>
      <c r="AZ498" s="69"/>
      <c r="BA498" s="69"/>
      <c r="BB498" s="69"/>
      <c r="BC498" s="69"/>
      <c r="BD498" s="69"/>
      <c r="BE498" s="69"/>
      <c r="BF498" s="69"/>
      <c r="BG498" s="69"/>
      <c r="BH498" s="69"/>
      <c r="BI498" s="69"/>
      <c r="BJ498" s="69"/>
      <c r="BK498" s="69"/>
      <c r="BL498" s="69"/>
      <c r="BM498" s="69"/>
      <c r="BN498" s="69"/>
      <c r="BO498" s="69"/>
      <c r="BP498" s="69"/>
      <c r="BQ498" s="69"/>
      <c r="BR498" s="69"/>
      <c r="BS498" s="69"/>
      <c r="BT498" s="69"/>
      <c r="BU498" s="69"/>
    </row>
    <row r="499" spans="15:73" x14ac:dyDescent="0.2"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D499" s="69"/>
      <c r="AE499" s="69"/>
      <c r="AF499" s="69"/>
      <c r="AG499" s="69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  <c r="AV499" s="69"/>
      <c r="AW499" s="69"/>
      <c r="AX499" s="69"/>
      <c r="AY499" s="69"/>
      <c r="AZ499" s="69"/>
      <c r="BA499" s="69"/>
      <c r="BB499" s="69"/>
      <c r="BC499" s="69"/>
      <c r="BD499" s="69"/>
      <c r="BE499" s="69"/>
      <c r="BF499" s="69"/>
      <c r="BG499" s="69"/>
      <c r="BH499" s="69"/>
      <c r="BI499" s="69"/>
      <c r="BJ499" s="69"/>
      <c r="BK499" s="69"/>
      <c r="BL499" s="69"/>
      <c r="BM499" s="69"/>
      <c r="BN499" s="69"/>
      <c r="BO499" s="69"/>
      <c r="BP499" s="69"/>
      <c r="BQ499" s="69"/>
      <c r="BR499" s="69"/>
      <c r="BS499" s="69"/>
      <c r="BT499" s="69"/>
      <c r="BU499" s="69"/>
    </row>
    <row r="500" spans="15:73" x14ac:dyDescent="0.2"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D500" s="69"/>
      <c r="AE500" s="69"/>
      <c r="AF500" s="69"/>
      <c r="AG500" s="69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  <c r="AV500" s="69"/>
      <c r="AW500" s="69"/>
      <c r="AX500" s="69"/>
      <c r="AY500" s="69"/>
      <c r="AZ500" s="69"/>
      <c r="BA500" s="69"/>
      <c r="BB500" s="69"/>
      <c r="BC500" s="69"/>
      <c r="BD500" s="69"/>
      <c r="BE500" s="69"/>
      <c r="BF500" s="69"/>
      <c r="BG500" s="69"/>
      <c r="BH500" s="69"/>
      <c r="BI500" s="69"/>
      <c r="BJ500" s="69"/>
      <c r="BK500" s="69"/>
      <c r="BL500" s="69"/>
      <c r="BM500" s="69"/>
      <c r="BN500" s="69"/>
      <c r="BO500" s="69"/>
      <c r="BP500" s="69"/>
      <c r="BQ500" s="69"/>
      <c r="BR500" s="69"/>
      <c r="BS500" s="69"/>
      <c r="BT500" s="69"/>
      <c r="BU500" s="69"/>
    </row>
    <row r="501" spans="15:73" x14ac:dyDescent="0.2"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D501" s="69"/>
      <c r="AE501" s="69"/>
      <c r="AF501" s="69"/>
      <c r="AG501" s="69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  <c r="AV501" s="69"/>
      <c r="AW501" s="69"/>
      <c r="AX501" s="69"/>
      <c r="AY501" s="69"/>
      <c r="AZ501" s="69"/>
      <c r="BA501" s="69"/>
      <c r="BB501" s="69"/>
      <c r="BC501" s="69"/>
      <c r="BD501" s="69"/>
      <c r="BE501" s="69"/>
      <c r="BF501" s="69"/>
      <c r="BG501" s="69"/>
      <c r="BH501" s="69"/>
      <c r="BI501" s="69"/>
      <c r="BJ501" s="69"/>
      <c r="BK501" s="69"/>
      <c r="BL501" s="69"/>
      <c r="BM501" s="69"/>
      <c r="BN501" s="69"/>
      <c r="BO501" s="69"/>
      <c r="BP501" s="69"/>
      <c r="BQ501" s="69"/>
      <c r="BR501" s="69"/>
      <c r="BS501" s="69"/>
      <c r="BT501" s="69"/>
      <c r="BU501" s="69"/>
    </row>
    <row r="502" spans="15:73" x14ac:dyDescent="0.2"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  <c r="AG502" s="69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  <c r="AV502" s="69"/>
      <c r="AW502" s="69"/>
      <c r="AX502" s="69"/>
      <c r="AY502" s="69"/>
      <c r="AZ502" s="69"/>
      <c r="BA502" s="69"/>
      <c r="BB502" s="69"/>
      <c r="BC502" s="69"/>
      <c r="BD502" s="69"/>
      <c r="BE502" s="69"/>
      <c r="BF502" s="69"/>
      <c r="BG502" s="69"/>
      <c r="BH502" s="69"/>
      <c r="BI502" s="69"/>
      <c r="BJ502" s="69"/>
      <c r="BK502" s="69"/>
      <c r="BL502" s="69"/>
      <c r="BM502" s="69"/>
      <c r="BN502" s="69"/>
      <c r="BO502" s="69"/>
      <c r="BP502" s="69"/>
      <c r="BQ502" s="69"/>
      <c r="BR502" s="69"/>
      <c r="BS502" s="69"/>
      <c r="BT502" s="69"/>
      <c r="BU502" s="69"/>
    </row>
    <row r="503" spans="15:73" x14ac:dyDescent="0.2"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  <c r="AG503" s="69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  <c r="AV503" s="69"/>
      <c r="AW503" s="69"/>
      <c r="AX503" s="69"/>
      <c r="AY503" s="69"/>
      <c r="AZ503" s="69"/>
      <c r="BA503" s="69"/>
      <c r="BB503" s="69"/>
      <c r="BC503" s="69"/>
      <c r="BD503" s="69"/>
      <c r="BE503" s="69"/>
      <c r="BF503" s="69"/>
      <c r="BG503" s="69"/>
      <c r="BH503" s="69"/>
      <c r="BI503" s="69"/>
      <c r="BJ503" s="69"/>
      <c r="BK503" s="69"/>
      <c r="BL503" s="69"/>
      <c r="BM503" s="69"/>
      <c r="BN503" s="69"/>
      <c r="BO503" s="69"/>
      <c r="BP503" s="69"/>
      <c r="BQ503" s="69"/>
      <c r="BR503" s="69"/>
      <c r="BS503" s="69"/>
      <c r="BT503" s="69"/>
      <c r="BU503" s="69"/>
    </row>
    <row r="504" spans="15:73" x14ac:dyDescent="0.2"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  <c r="AG504" s="69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  <c r="AV504" s="69"/>
      <c r="AW504" s="69"/>
      <c r="AX504" s="69"/>
      <c r="AY504" s="69"/>
      <c r="AZ504" s="69"/>
      <c r="BA504" s="69"/>
      <c r="BB504" s="69"/>
      <c r="BC504" s="69"/>
      <c r="BD504" s="69"/>
      <c r="BE504" s="69"/>
      <c r="BF504" s="69"/>
      <c r="BG504" s="69"/>
      <c r="BH504" s="69"/>
      <c r="BI504" s="69"/>
      <c r="BJ504" s="69"/>
      <c r="BK504" s="69"/>
      <c r="BL504" s="69"/>
      <c r="BM504" s="69"/>
      <c r="BN504" s="69"/>
      <c r="BO504" s="69"/>
      <c r="BP504" s="69"/>
      <c r="BQ504" s="69"/>
      <c r="BR504" s="69"/>
      <c r="BS504" s="69"/>
      <c r="BT504" s="69"/>
      <c r="BU504" s="69"/>
    </row>
    <row r="505" spans="15:73" x14ac:dyDescent="0.2"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D505" s="69"/>
      <c r="AE505" s="69"/>
      <c r="AF505" s="69"/>
      <c r="AG505" s="69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  <c r="AV505" s="69"/>
      <c r="AW505" s="69"/>
      <c r="AX505" s="69"/>
      <c r="AY505" s="69"/>
      <c r="AZ505" s="69"/>
      <c r="BA505" s="69"/>
      <c r="BB505" s="69"/>
      <c r="BC505" s="69"/>
      <c r="BD505" s="69"/>
      <c r="BE505" s="69"/>
      <c r="BF505" s="69"/>
      <c r="BG505" s="69"/>
      <c r="BH505" s="69"/>
      <c r="BI505" s="69"/>
      <c r="BJ505" s="69"/>
      <c r="BK505" s="69"/>
      <c r="BL505" s="69"/>
      <c r="BM505" s="69"/>
      <c r="BN505" s="69"/>
      <c r="BO505" s="69"/>
      <c r="BP505" s="69"/>
      <c r="BQ505" s="69"/>
      <c r="BR505" s="69"/>
      <c r="BS505" s="69"/>
      <c r="BT505" s="69"/>
      <c r="BU505" s="69"/>
    </row>
    <row r="506" spans="15:73" x14ac:dyDescent="0.2"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D506" s="69"/>
      <c r="AE506" s="69"/>
      <c r="AF506" s="69"/>
      <c r="AG506" s="69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  <c r="AV506" s="69"/>
      <c r="AW506" s="69"/>
      <c r="AX506" s="69"/>
      <c r="AY506" s="69"/>
      <c r="AZ506" s="69"/>
      <c r="BA506" s="69"/>
      <c r="BB506" s="69"/>
      <c r="BC506" s="69"/>
      <c r="BD506" s="69"/>
      <c r="BE506" s="69"/>
      <c r="BF506" s="69"/>
      <c r="BG506" s="69"/>
      <c r="BH506" s="69"/>
      <c r="BI506" s="69"/>
      <c r="BJ506" s="69"/>
      <c r="BK506" s="69"/>
      <c r="BL506" s="69"/>
      <c r="BM506" s="69"/>
      <c r="BN506" s="69"/>
      <c r="BO506" s="69"/>
      <c r="BP506" s="69"/>
      <c r="BQ506" s="69"/>
      <c r="BR506" s="69"/>
      <c r="BS506" s="69"/>
      <c r="BT506" s="69"/>
      <c r="BU506" s="69"/>
    </row>
    <row r="507" spans="15:73" x14ac:dyDescent="0.2"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D507" s="69"/>
      <c r="AE507" s="69"/>
      <c r="AF507" s="69"/>
      <c r="AG507" s="69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  <c r="AV507" s="69"/>
      <c r="AW507" s="69"/>
      <c r="AX507" s="69"/>
      <c r="AY507" s="69"/>
      <c r="AZ507" s="69"/>
      <c r="BA507" s="69"/>
      <c r="BB507" s="69"/>
      <c r="BC507" s="69"/>
      <c r="BD507" s="69"/>
      <c r="BE507" s="69"/>
      <c r="BF507" s="69"/>
      <c r="BG507" s="69"/>
      <c r="BH507" s="69"/>
      <c r="BI507" s="69"/>
      <c r="BJ507" s="69"/>
      <c r="BK507" s="69"/>
      <c r="BL507" s="69"/>
      <c r="BM507" s="69"/>
      <c r="BN507" s="69"/>
      <c r="BO507" s="69"/>
      <c r="BP507" s="69"/>
      <c r="BQ507" s="69"/>
      <c r="BR507" s="69"/>
      <c r="BS507" s="69"/>
      <c r="BT507" s="69"/>
      <c r="BU507" s="69"/>
    </row>
    <row r="508" spans="15:73" x14ac:dyDescent="0.2"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D508" s="69"/>
      <c r="AE508" s="69"/>
      <c r="AF508" s="69"/>
      <c r="AG508" s="69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  <c r="AV508" s="69"/>
      <c r="AW508" s="69"/>
      <c r="AX508" s="69"/>
      <c r="AY508" s="69"/>
      <c r="AZ508" s="69"/>
      <c r="BA508" s="69"/>
      <c r="BB508" s="69"/>
      <c r="BC508" s="69"/>
      <c r="BD508" s="69"/>
      <c r="BE508" s="69"/>
      <c r="BF508" s="69"/>
      <c r="BG508" s="69"/>
      <c r="BH508" s="69"/>
      <c r="BI508" s="69"/>
      <c r="BJ508" s="69"/>
      <c r="BK508" s="69"/>
      <c r="BL508" s="69"/>
      <c r="BM508" s="69"/>
      <c r="BN508" s="69"/>
      <c r="BO508" s="69"/>
      <c r="BP508" s="69"/>
      <c r="BQ508" s="69"/>
      <c r="BR508" s="69"/>
      <c r="BS508" s="69"/>
      <c r="BT508" s="69"/>
      <c r="BU508" s="69"/>
    </row>
    <row r="509" spans="15:73" x14ac:dyDescent="0.2"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  <c r="AG509" s="69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  <c r="AV509" s="69"/>
      <c r="AW509" s="69"/>
      <c r="AX509" s="69"/>
      <c r="AY509" s="69"/>
      <c r="AZ509" s="69"/>
      <c r="BA509" s="69"/>
      <c r="BB509" s="69"/>
      <c r="BC509" s="69"/>
      <c r="BD509" s="69"/>
      <c r="BE509" s="69"/>
      <c r="BF509" s="69"/>
      <c r="BG509" s="69"/>
      <c r="BH509" s="69"/>
      <c r="BI509" s="69"/>
      <c r="BJ509" s="69"/>
      <c r="BK509" s="69"/>
      <c r="BL509" s="69"/>
      <c r="BM509" s="69"/>
      <c r="BN509" s="69"/>
      <c r="BO509" s="69"/>
      <c r="BP509" s="69"/>
      <c r="BQ509" s="69"/>
      <c r="BR509" s="69"/>
      <c r="BS509" s="69"/>
      <c r="BT509" s="69"/>
      <c r="BU509" s="69"/>
    </row>
    <row r="510" spans="15:73" x14ac:dyDescent="0.2"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D510" s="69"/>
      <c r="AE510" s="69"/>
      <c r="AF510" s="69"/>
      <c r="AG510" s="69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  <c r="AV510" s="69"/>
      <c r="AW510" s="69"/>
      <c r="AX510" s="69"/>
      <c r="AY510" s="69"/>
      <c r="AZ510" s="69"/>
      <c r="BA510" s="69"/>
      <c r="BB510" s="69"/>
      <c r="BC510" s="69"/>
      <c r="BD510" s="69"/>
      <c r="BE510" s="69"/>
      <c r="BF510" s="69"/>
      <c r="BG510" s="69"/>
      <c r="BH510" s="69"/>
      <c r="BI510" s="69"/>
      <c r="BJ510" s="69"/>
      <c r="BK510" s="69"/>
      <c r="BL510" s="69"/>
      <c r="BM510" s="69"/>
      <c r="BN510" s="69"/>
      <c r="BO510" s="69"/>
      <c r="BP510" s="69"/>
      <c r="BQ510" s="69"/>
      <c r="BR510" s="69"/>
      <c r="BS510" s="69"/>
      <c r="BT510" s="69"/>
      <c r="BU510" s="69"/>
    </row>
    <row r="511" spans="15:73" x14ac:dyDescent="0.2"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D511" s="69"/>
      <c r="AE511" s="69"/>
      <c r="AF511" s="69"/>
      <c r="AG511" s="69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  <c r="AV511" s="69"/>
      <c r="AW511" s="69"/>
      <c r="AX511" s="69"/>
      <c r="AY511" s="69"/>
      <c r="AZ511" s="69"/>
      <c r="BA511" s="69"/>
      <c r="BB511" s="69"/>
      <c r="BC511" s="69"/>
      <c r="BD511" s="69"/>
      <c r="BE511" s="69"/>
      <c r="BF511" s="69"/>
      <c r="BG511" s="69"/>
      <c r="BH511" s="69"/>
      <c r="BI511" s="69"/>
      <c r="BJ511" s="69"/>
      <c r="BK511" s="69"/>
      <c r="BL511" s="69"/>
      <c r="BM511" s="69"/>
      <c r="BN511" s="69"/>
      <c r="BO511" s="69"/>
      <c r="BP511" s="69"/>
      <c r="BQ511" s="69"/>
      <c r="BR511" s="69"/>
      <c r="BS511" s="69"/>
      <c r="BT511" s="69"/>
      <c r="BU511" s="69"/>
    </row>
    <row r="512" spans="15:73" x14ac:dyDescent="0.2"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D512" s="69"/>
      <c r="AE512" s="69"/>
      <c r="AF512" s="69"/>
      <c r="AG512" s="69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  <c r="AV512" s="69"/>
      <c r="AW512" s="69"/>
      <c r="AX512" s="69"/>
      <c r="AY512" s="69"/>
      <c r="AZ512" s="69"/>
      <c r="BA512" s="69"/>
      <c r="BB512" s="69"/>
      <c r="BC512" s="69"/>
      <c r="BD512" s="69"/>
      <c r="BE512" s="69"/>
      <c r="BF512" s="69"/>
      <c r="BG512" s="69"/>
      <c r="BH512" s="69"/>
      <c r="BI512" s="69"/>
      <c r="BJ512" s="69"/>
      <c r="BK512" s="69"/>
      <c r="BL512" s="69"/>
      <c r="BM512" s="69"/>
      <c r="BN512" s="69"/>
      <c r="BO512" s="69"/>
      <c r="BP512" s="69"/>
      <c r="BQ512" s="69"/>
      <c r="BR512" s="69"/>
      <c r="BS512" s="69"/>
      <c r="BT512" s="69"/>
      <c r="BU512" s="69"/>
    </row>
    <row r="513" spans="15:73" x14ac:dyDescent="0.2"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D513" s="69"/>
      <c r="AE513" s="69"/>
      <c r="AF513" s="69"/>
      <c r="AG513" s="69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  <c r="AV513" s="69"/>
      <c r="AW513" s="69"/>
      <c r="AX513" s="69"/>
      <c r="AY513" s="69"/>
      <c r="AZ513" s="69"/>
      <c r="BA513" s="69"/>
      <c r="BB513" s="69"/>
      <c r="BC513" s="69"/>
      <c r="BD513" s="69"/>
      <c r="BE513" s="69"/>
      <c r="BF513" s="69"/>
      <c r="BG513" s="69"/>
      <c r="BH513" s="69"/>
      <c r="BI513" s="69"/>
      <c r="BJ513" s="69"/>
      <c r="BK513" s="69"/>
      <c r="BL513" s="69"/>
      <c r="BM513" s="69"/>
      <c r="BN513" s="69"/>
      <c r="BO513" s="69"/>
      <c r="BP513" s="69"/>
      <c r="BQ513" s="69"/>
      <c r="BR513" s="69"/>
      <c r="BS513" s="69"/>
      <c r="BT513" s="69"/>
      <c r="BU513" s="69"/>
    </row>
    <row r="514" spans="15:73" x14ac:dyDescent="0.2"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D514" s="69"/>
      <c r="AE514" s="69"/>
      <c r="AF514" s="69"/>
      <c r="AG514" s="69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  <c r="AV514" s="69"/>
      <c r="AW514" s="69"/>
      <c r="AX514" s="69"/>
      <c r="AY514" s="69"/>
      <c r="AZ514" s="69"/>
      <c r="BA514" s="69"/>
      <c r="BB514" s="69"/>
      <c r="BC514" s="69"/>
      <c r="BD514" s="69"/>
      <c r="BE514" s="69"/>
      <c r="BF514" s="69"/>
      <c r="BG514" s="69"/>
      <c r="BH514" s="69"/>
      <c r="BI514" s="69"/>
      <c r="BJ514" s="69"/>
      <c r="BK514" s="69"/>
      <c r="BL514" s="69"/>
      <c r="BM514" s="69"/>
      <c r="BN514" s="69"/>
      <c r="BO514" s="69"/>
      <c r="BP514" s="69"/>
      <c r="BQ514" s="69"/>
      <c r="BR514" s="69"/>
      <c r="BS514" s="69"/>
      <c r="BT514" s="69"/>
      <c r="BU514" s="69"/>
    </row>
    <row r="515" spans="15:73" x14ac:dyDescent="0.2"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  <c r="AG515" s="69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  <c r="AV515" s="69"/>
      <c r="AW515" s="69"/>
      <c r="AX515" s="69"/>
      <c r="AY515" s="69"/>
      <c r="AZ515" s="69"/>
      <c r="BA515" s="69"/>
      <c r="BB515" s="69"/>
      <c r="BC515" s="69"/>
      <c r="BD515" s="69"/>
      <c r="BE515" s="69"/>
      <c r="BF515" s="69"/>
      <c r="BG515" s="69"/>
      <c r="BH515" s="69"/>
      <c r="BI515" s="69"/>
      <c r="BJ515" s="69"/>
      <c r="BK515" s="69"/>
      <c r="BL515" s="69"/>
      <c r="BM515" s="69"/>
      <c r="BN515" s="69"/>
      <c r="BO515" s="69"/>
      <c r="BP515" s="69"/>
      <c r="BQ515" s="69"/>
      <c r="BR515" s="69"/>
      <c r="BS515" s="69"/>
      <c r="BT515" s="69"/>
      <c r="BU515" s="69"/>
    </row>
    <row r="516" spans="15:73" x14ac:dyDescent="0.2"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  <c r="AG516" s="69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  <c r="AV516" s="69"/>
      <c r="AW516" s="69"/>
      <c r="AX516" s="69"/>
      <c r="AY516" s="69"/>
      <c r="AZ516" s="69"/>
      <c r="BA516" s="69"/>
      <c r="BB516" s="69"/>
      <c r="BC516" s="69"/>
      <c r="BD516" s="69"/>
      <c r="BE516" s="69"/>
      <c r="BF516" s="69"/>
      <c r="BG516" s="69"/>
      <c r="BH516" s="69"/>
      <c r="BI516" s="69"/>
      <c r="BJ516" s="69"/>
      <c r="BK516" s="69"/>
      <c r="BL516" s="69"/>
      <c r="BM516" s="69"/>
      <c r="BN516" s="69"/>
      <c r="BO516" s="69"/>
      <c r="BP516" s="69"/>
      <c r="BQ516" s="69"/>
      <c r="BR516" s="69"/>
      <c r="BS516" s="69"/>
      <c r="BT516" s="69"/>
      <c r="BU516" s="69"/>
    </row>
    <row r="517" spans="15:73" x14ac:dyDescent="0.2"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  <c r="AG517" s="69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  <c r="AV517" s="69"/>
      <c r="AW517" s="69"/>
      <c r="AX517" s="69"/>
      <c r="AY517" s="69"/>
      <c r="AZ517" s="69"/>
      <c r="BA517" s="69"/>
      <c r="BB517" s="69"/>
      <c r="BC517" s="69"/>
      <c r="BD517" s="69"/>
      <c r="BE517" s="69"/>
      <c r="BF517" s="69"/>
      <c r="BG517" s="69"/>
      <c r="BH517" s="69"/>
      <c r="BI517" s="69"/>
      <c r="BJ517" s="69"/>
      <c r="BK517" s="69"/>
      <c r="BL517" s="69"/>
      <c r="BM517" s="69"/>
      <c r="BN517" s="69"/>
      <c r="BO517" s="69"/>
      <c r="BP517" s="69"/>
      <c r="BQ517" s="69"/>
      <c r="BR517" s="69"/>
      <c r="BS517" s="69"/>
      <c r="BT517" s="69"/>
      <c r="BU517" s="69"/>
    </row>
    <row r="518" spans="15:73" x14ac:dyDescent="0.2"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/>
      <c r="AE518" s="69"/>
      <c r="AF518" s="69"/>
      <c r="AG518" s="69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  <c r="AV518" s="69"/>
      <c r="AW518" s="69"/>
      <c r="AX518" s="69"/>
      <c r="AY518" s="69"/>
      <c r="AZ518" s="69"/>
      <c r="BA518" s="69"/>
      <c r="BB518" s="69"/>
      <c r="BC518" s="69"/>
      <c r="BD518" s="69"/>
      <c r="BE518" s="69"/>
      <c r="BF518" s="69"/>
      <c r="BG518" s="69"/>
      <c r="BH518" s="69"/>
      <c r="BI518" s="69"/>
      <c r="BJ518" s="69"/>
      <c r="BK518" s="69"/>
      <c r="BL518" s="69"/>
      <c r="BM518" s="69"/>
      <c r="BN518" s="69"/>
      <c r="BO518" s="69"/>
      <c r="BP518" s="69"/>
      <c r="BQ518" s="69"/>
      <c r="BR518" s="69"/>
      <c r="BS518" s="69"/>
      <c r="BT518" s="69"/>
      <c r="BU518" s="69"/>
    </row>
    <row r="519" spans="15:73" x14ac:dyDescent="0.2"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  <c r="AG519" s="69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  <c r="AV519" s="69"/>
      <c r="AW519" s="69"/>
      <c r="AX519" s="69"/>
      <c r="AY519" s="69"/>
      <c r="AZ519" s="69"/>
      <c r="BA519" s="69"/>
      <c r="BB519" s="69"/>
      <c r="BC519" s="69"/>
      <c r="BD519" s="69"/>
      <c r="BE519" s="69"/>
      <c r="BF519" s="69"/>
      <c r="BG519" s="69"/>
      <c r="BH519" s="69"/>
      <c r="BI519" s="69"/>
      <c r="BJ519" s="69"/>
      <c r="BK519" s="69"/>
      <c r="BL519" s="69"/>
      <c r="BM519" s="69"/>
      <c r="BN519" s="69"/>
      <c r="BO519" s="69"/>
      <c r="BP519" s="69"/>
      <c r="BQ519" s="69"/>
      <c r="BR519" s="69"/>
      <c r="BS519" s="69"/>
      <c r="BT519" s="69"/>
      <c r="BU519" s="69"/>
    </row>
    <row r="520" spans="15:73" x14ac:dyDescent="0.2"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  <c r="AG520" s="69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  <c r="AV520" s="69"/>
      <c r="AW520" s="69"/>
      <c r="AX520" s="69"/>
      <c r="AY520" s="69"/>
      <c r="AZ520" s="69"/>
      <c r="BA520" s="69"/>
      <c r="BB520" s="69"/>
      <c r="BC520" s="69"/>
      <c r="BD520" s="69"/>
      <c r="BE520" s="69"/>
      <c r="BF520" s="69"/>
      <c r="BG520" s="69"/>
      <c r="BH520" s="69"/>
      <c r="BI520" s="69"/>
      <c r="BJ520" s="69"/>
      <c r="BK520" s="69"/>
      <c r="BL520" s="69"/>
      <c r="BM520" s="69"/>
      <c r="BN520" s="69"/>
      <c r="BO520" s="69"/>
      <c r="BP520" s="69"/>
      <c r="BQ520" s="69"/>
      <c r="BR520" s="69"/>
      <c r="BS520" s="69"/>
      <c r="BT520" s="69"/>
      <c r="BU520" s="69"/>
    </row>
    <row r="521" spans="15:73" x14ac:dyDescent="0.2"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69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  <c r="AV521" s="69"/>
      <c r="AW521" s="69"/>
      <c r="AX521" s="69"/>
      <c r="AY521" s="69"/>
      <c r="AZ521" s="69"/>
      <c r="BA521" s="69"/>
      <c r="BB521" s="69"/>
      <c r="BC521" s="69"/>
      <c r="BD521" s="69"/>
      <c r="BE521" s="69"/>
      <c r="BF521" s="69"/>
      <c r="BG521" s="69"/>
      <c r="BH521" s="69"/>
      <c r="BI521" s="69"/>
      <c r="BJ521" s="69"/>
      <c r="BK521" s="69"/>
      <c r="BL521" s="69"/>
      <c r="BM521" s="69"/>
      <c r="BN521" s="69"/>
      <c r="BO521" s="69"/>
      <c r="BP521" s="69"/>
      <c r="BQ521" s="69"/>
      <c r="BR521" s="69"/>
      <c r="BS521" s="69"/>
      <c r="BT521" s="69"/>
      <c r="BU521" s="69"/>
    </row>
    <row r="522" spans="15:73" x14ac:dyDescent="0.2"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  <c r="AG522" s="69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  <c r="AV522" s="69"/>
      <c r="AW522" s="69"/>
      <c r="AX522" s="69"/>
      <c r="AY522" s="69"/>
      <c r="AZ522" s="69"/>
      <c r="BA522" s="69"/>
      <c r="BB522" s="69"/>
      <c r="BC522" s="69"/>
      <c r="BD522" s="69"/>
      <c r="BE522" s="69"/>
      <c r="BF522" s="69"/>
      <c r="BG522" s="69"/>
      <c r="BH522" s="69"/>
      <c r="BI522" s="69"/>
      <c r="BJ522" s="69"/>
      <c r="BK522" s="69"/>
      <c r="BL522" s="69"/>
      <c r="BM522" s="69"/>
      <c r="BN522" s="69"/>
      <c r="BO522" s="69"/>
      <c r="BP522" s="69"/>
      <c r="BQ522" s="69"/>
      <c r="BR522" s="69"/>
      <c r="BS522" s="69"/>
      <c r="BT522" s="69"/>
      <c r="BU522" s="69"/>
    </row>
    <row r="523" spans="15:73" x14ac:dyDescent="0.2"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69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  <c r="AV523" s="69"/>
      <c r="AW523" s="69"/>
      <c r="AX523" s="69"/>
      <c r="AY523" s="69"/>
      <c r="AZ523" s="69"/>
      <c r="BA523" s="69"/>
      <c r="BB523" s="69"/>
      <c r="BC523" s="69"/>
      <c r="BD523" s="69"/>
      <c r="BE523" s="69"/>
      <c r="BF523" s="69"/>
      <c r="BG523" s="69"/>
      <c r="BH523" s="69"/>
      <c r="BI523" s="69"/>
      <c r="BJ523" s="69"/>
      <c r="BK523" s="69"/>
      <c r="BL523" s="69"/>
      <c r="BM523" s="69"/>
      <c r="BN523" s="69"/>
      <c r="BO523" s="69"/>
      <c r="BP523" s="69"/>
      <c r="BQ523" s="69"/>
      <c r="BR523" s="69"/>
      <c r="BS523" s="69"/>
      <c r="BT523" s="69"/>
      <c r="BU523" s="69"/>
    </row>
    <row r="524" spans="15:73" x14ac:dyDescent="0.2"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  <c r="AG524" s="69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  <c r="AV524" s="69"/>
      <c r="AW524" s="69"/>
      <c r="AX524" s="69"/>
      <c r="AY524" s="69"/>
      <c r="AZ524" s="69"/>
      <c r="BA524" s="69"/>
      <c r="BB524" s="69"/>
      <c r="BC524" s="69"/>
      <c r="BD524" s="69"/>
      <c r="BE524" s="69"/>
      <c r="BF524" s="69"/>
      <c r="BG524" s="69"/>
      <c r="BH524" s="69"/>
      <c r="BI524" s="69"/>
      <c r="BJ524" s="69"/>
      <c r="BK524" s="69"/>
      <c r="BL524" s="69"/>
      <c r="BM524" s="69"/>
      <c r="BN524" s="69"/>
      <c r="BO524" s="69"/>
      <c r="BP524" s="69"/>
      <c r="BQ524" s="69"/>
      <c r="BR524" s="69"/>
      <c r="BS524" s="69"/>
      <c r="BT524" s="69"/>
      <c r="BU524" s="69"/>
    </row>
    <row r="525" spans="15:73" x14ac:dyDescent="0.2"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69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  <c r="AV525" s="69"/>
      <c r="AW525" s="69"/>
      <c r="AX525" s="69"/>
      <c r="AY525" s="69"/>
      <c r="AZ525" s="69"/>
      <c r="BA525" s="69"/>
      <c r="BB525" s="69"/>
      <c r="BC525" s="69"/>
      <c r="BD525" s="69"/>
      <c r="BE525" s="69"/>
      <c r="BF525" s="69"/>
      <c r="BG525" s="69"/>
      <c r="BH525" s="69"/>
      <c r="BI525" s="69"/>
      <c r="BJ525" s="69"/>
      <c r="BK525" s="69"/>
      <c r="BL525" s="69"/>
      <c r="BM525" s="69"/>
      <c r="BN525" s="69"/>
      <c r="BO525" s="69"/>
      <c r="BP525" s="69"/>
      <c r="BQ525" s="69"/>
      <c r="BR525" s="69"/>
      <c r="BS525" s="69"/>
      <c r="BT525" s="69"/>
      <c r="BU525" s="69"/>
    </row>
    <row r="526" spans="15:73" x14ac:dyDescent="0.2"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  <c r="AG526" s="69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  <c r="AV526" s="69"/>
      <c r="AW526" s="69"/>
      <c r="AX526" s="69"/>
      <c r="AY526" s="69"/>
      <c r="AZ526" s="69"/>
      <c r="BA526" s="69"/>
      <c r="BB526" s="69"/>
      <c r="BC526" s="69"/>
      <c r="BD526" s="69"/>
      <c r="BE526" s="69"/>
      <c r="BF526" s="69"/>
      <c r="BG526" s="69"/>
      <c r="BH526" s="69"/>
      <c r="BI526" s="69"/>
      <c r="BJ526" s="69"/>
      <c r="BK526" s="69"/>
      <c r="BL526" s="69"/>
      <c r="BM526" s="69"/>
      <c r="BN526" s="69"/>
      <c r="BO526" s="69"/>
      <c r="BP526" s="69"/>
      <c r="BQ526" s="69"/>
      <c r="BR526" s="69"/>
      <c r="BS526" s="69"/>
      <c r="BT526" s="69"/>
      <c r="BU526" s="69"/>
    </row>
    <row r="527" spans="15:73" x14ac:dyDescent="0.2"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  <c r="AG527" s="69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  <c r="AV527" s="69"/>
      <c r="AW527" s="69"/>
      <c r="AX527" s="69"/>
      <c r="AY527" s="69"/>
      <c r="AZ527" s="69"/>
      <c r="BA527" s="69"/>
      <c r="BB527" s="69"/>
      <c r="BC527" s="69"/>
      <c r="BD527" s="69"/>
      <c r="BE527" s="69"/>
      <c r="BF527" s="69"/>
      <c r="BG527" s="69"/>
      <c r="BH527" s="69"/>
      <c r="BI527" s="69"/>
      <c r="BJ527" s="69"/>
      <c r="BK527" s="69"/>
      <c r="BL527" s="69"/>
      <c r="BM527" s="69"/>
      <c r="BN527" s="69"/>
      <c r="BO527" s="69"/>
      <c r="BP527" s="69"/>
      <c r="BQ527" s="69"/>
      <c r="BR527" s="69"/>
      <c r="BS527" s="69"/>
      <c r="BT527" s="69"/>
      <c r="BU527" s="69"/>
    </row>
    <row r="528" spans="15:73" x14ac:dyDescent="0.2"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  <c r="AG528" s="69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  <c r="AV528" s="69"/>
      <c r="AW528" s="69"/>
      <c r="AX528" s="69"/>
      <c r="AY528" s="69"/>
      <c r="AZ528" s="69"/>
      <c r="BA528" s="69"/>
      <c r="BB528" s="69"/>
      <c r="BC528" s="69"/>
      <c r="BD528" s="69"/>
      <c r="BE528" s="69"/>
      <c r="BF528" s="69"/>
      <c r="BG528" s="69"/>
      <c r="BH528" s="69"/>
      <c r="BI528" s="69"/>
      <c r="BJ528" s="69"/>
      <c r="BK528" s="69"/>
      <c r="BL528" s="69"/>
      <c r="BM528" s="69"/>
      <c r="BN528" s="69"/>
      <c r="BO528" s="69"/>
      <c r="BP528" s="69"/>
      <c r="BQ528" s="69"/>
      <c r="BR528" s="69"/>
      <c r="BS528" s="69"/>
      <c r="BT528" s="69"/>
      <c r="BU528" s="69"/>
    </row>
    <row r="529" spans="15:73" x14ac:dyDescent="0.2"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  <c r="AG529" s="69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  <c r="AV529" s="69"/>
      <c r="AW529" s="69"/>
      <c r="AX529" s="69"/>
      <c r="AY529" s="69"/>
      <c r="AZ529" s="69"/>
      <c r="BA529" s="69"/>
      <c r="BB529" s="69"/>
      <c r="BC529" s="69"/>
      <c r="BD529" s="69"/>
      <c r="BE529" s="69"/>
      <c r="BF529" s="69"/>
      <c r="BG529" s="69"/>
      <c r="BH529" s="69"/>
      <c r="BI529" s="69"/>
      <c r="BJ529" s="69"/>
      <c r="BK529" s="69"/>
      <c r="BL529" s="69"/>
      <c r="BM529" s="69"/>
      <c r="BN529" s="69"/>
      <c r="BO529" s="69"/>
      <c r="BP529" s="69"/>
      <c r="BQ529" s="69"/>
      <c r="BR529" s="69"/>
      <c r="BS529" s="69"/>
      <c r="BT529" s="69"/>
      <c r="BU529" s="69"/>
    </row>
    <row r="530" spans="15:73" x14ac:dyDescent="0.2"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69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  <c r="AV530" s="69"/>
      <c r="AW530" s="69"/>
      <c r="AX530" s="69"/>
      <c r="AY530" s="69"/>
      <c r="AZ530" s="69"/>
      <c r="BA530" s="69"/>
      <c r="BB530" s="69"/>
      <c r="BC530" s="69"/>
      <c r="BD530" s="69"/>
      <c r="BE530" s="69"/>
      <c r="BF530" s="69"/>
      <c r="BG530" s="69"/>
      <c r="BH530" s="69"/>
      <c r="BI530" s="69"/>
      <c r="BJ530" s="69"/>
      <c r="BK530" s="69"/>
      <c r="BL530" s="69"/>
      <c r="BM530" s="69"/>
      <c r="BN530" s="69"/>
      <c r="BO530" s="69"/>
      <c r="BP530" s="69"/>
      <c r="BQ530" s="69"/>
      <c r="BR530" s="69"/>
      <c r="BS530" s="69"/>
      <c r="BT530" s="69"/>
      <c r="BU530" s="69"/>
    </row>
    <row r="531" spans="15:73" x14ac:dyDescent="0.2"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69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  <c r="AV531" s="69"/>
      <c r="AW531" s="69"/>
      <c r="AX531" s="69"/>
      <c r="AY531" s="69"/>
      <c r="AZ531" s="69"/>
      <c r="BA531" s="69"/>
      <c r="BB531" s="69"/>
      <c r="BC531" s="69"/>
      <c r="BD531" s="69"/>
      <c r="BE531" s="69"/>
      <c r="BF531" s="69"/>
      <c r="BG531" s="69"/>
      <c r="BH531" s="69"/>
      <c r="BI531" s="69"/>
      <c r="BJ531" s="69"/>
      <c r="BK531" s="69"/>
      <c r="BL531" s="69"/>
      <c r="BM531" s="69"/>
      <c r="BN531" s="69"/>
      <c r="BO531" s="69"/>
      <c r="BP531" s="69"/>
      <c r="BQ531" s="69"/>
      <c r="BR531" s="69"/>
      <c r="BS531" s="69"/>
      <c r="BT531" s="69"/>
      <c r="BU531" s="69"/>
    </row>
    <row r="532" spans="15:73" x14ac:dyDescent="0.2"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  <c r="AG532" s="69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  <c r="AV532" s="69"/>
      <c r="AW532" s="69"/>
      <c r="AX532" s="69"/>
      <c r="AY532" s="69"/>
      <c r="AZ532" s="69"/>
      <c r="BA532" s="69"/>
      <c r="BB532" s="69"/>
      <c r="BC532" s="69"/>
      <c r="BD532" s="69"/>
      <c r="BE532" s="69"/>
      <c r="BF532" s="69"/>
      <c r="BG532" s="69"/>
      <c r="BH532" s="69"/>
      <c r="BI532" s="69"/>
      <c r="BJ532" s="69"/>
      <c r="BK532" s="69"/>
      <c r="BL532" s="69"/>
      <c r="BM532" s="69"/>
      <c r="BN532" s="69"/>
      <c r="BO532" s="69"/>
      <c r="BP532" s="69"/>
      <c r="BQ532" s="69"/>
      <c r="BR532" s="69"/>
      <c r="BS532" s="69"/>
      <c r="BT532" s="69"/>
      <c r="BU532" s="69"/>
    </row>
    <row r="533" spans="15:73" x14ac:dyDescent="0.2"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  <c r="AG533" s="69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  <c r="AV533" s="69"/>
      <c r="AW533" s="69"/>
      <c r="AX533" s="69"/>
      <c r="AY533" s="69"/>
      <c r="AZ533" s="69"/>
      <c r="BA533" s="69"/>
      <c r="BB533" s="69"/>
      <c r="BC533" s="69"/>
      <c r="BD533" s="69"/>
      <c r="BE533" s="69"/>
      <c r="BF533" s="69"/>
      <c r="BG533" s="69"/>
      <c r="BH533" s="69"/>
      <c r="BI533" s="69"/>
      <c r="BJ533" s="69"/>
      <c r="BK533" s="69"/>
      <c r="BL533" s="69"/>
      <c r="BM533" s="69"/>
      <c r="BN533" s="69"/>
      <c r="BO533" s="69"/>
      <c r="BP533" s="69"/>
      <c r="BQ533" s="69"/>
      <c r="BR533" s="69"/>
      <c r="BS533" s="69"/>
      <c r="BT533" s="69"/>
      <c r="BU533" s="69"/>
    </row>
    <row r="534" spans="15:73" x14ac:dyDescent="0.2"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  <c r="AG534" s="69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  <c r="AV534" s="69"/>
      <c r="AW534" s="69"/>
      <c r="AX534" s="69"/>
      <c r="AY534" s="69"/>
      <c r="AZ534" s="69"/>
      <c r="BA534" s="69"/>
      <c r="BB534" s="69"/>
      <c r="BC534" s="69"/>
      <c r="BD534" s="69"/>
      <c r="BE534" s="69"/>
      <c r="BF534" s="69"/>
      <c r="BG534" s="69"/>
      <c r="BH534" s="69"/>
      <c r="BI534" s="69"/>
      <c r="BJ534" s="69"/>
      <c r="BK534" s="69"/>
      <c r="BL534" s="69"/>
      <c r="BM534" s="69"/>
      <c r="BN534" s="69"/>
      <c r="BO534" s="69"/>
      <c r="BP534" s="69"/>
      <c r="BQ534" s="69"/>
      <c r="BR534" s="69"/>
      <c r="BS534" s="69"/>
      <c r="BT534" s="69"/>
      <c r="BU534" s="69"/>
    </row>
    <row r="535" spans="15:73" x14ac:dyDescent="0.2"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  <c r="AG535" s="69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  <c r="AV535" s="69"/>
      <c r="AW535" s="69"/>
      <c r="AX535" s="69"/>
      <c r="AY535" s="69"/>
      <c r="AZ535" s="69"/>
      <c r="BA535" s="69"/>
      <c r="BB535" s="69"/>
      <c r="BC535" s="69"/>
      <c r="BD535" s="69"/>
      <c r="BE535" s="69"/>
      <c r="BF535" s="69"/>
      <c r="BG535" s="69"/>
      <c r="BH535" s="69"/>
      <c r="BI535" s="69"/>
      <c r="BJ535" s="69"/>
      <c r="BK535" s="69"/>
      <c r="BL535" s="69"/>
      <c r="BM535" s="69"/>
      <c r="BN535" s="69"/>
      <c r="BO535" s="69"/>
      <c r="BP535" s="69"/>
      <c r="BQ535" s="69"/>
      <c r="BR535" s="69"/>
      <c r="BS535" s="69"/>
      <c r="BT535" s="69"/>
      <c r="BU535" s="69"/>
    </row>
    <row r="536" spans="15:73" x14ac:dyDescent="0.2"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  <c r="AG536" s="69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  <c r="AV536" s="69"/>
      <c r="AW536" s="69"/>
      <c r="AX536" s="69"/>
      <c r="AY536" s="69"/>
      <c r="AZ536" s="69"/>
      <c r="BA536" s="69"/>
      <c r="BB536" s="69"/>
      <c r="BC536" s="69"/>
      <c r="BD536" s="69"/>
      <c r="BE536" s="69"/>
      <c r="BF536" s="69"/>
      <c r="BG536" s="69"/>
      <c r="BH536" s="69"/>
      <c r="BI536" s="69"/>
      <c r="BJ536" s="69"/>
      <c r="BK536" s="69"/>
      <c r="BL536" s="69"/>
      <c r="BM536" s="69"/>
      <c r="BN536" s="69"/>
      <c r="BO536" s="69"/>
      <c r="BP536" s="69"/>
      <c r="BQ536" s="69"/>
      <c r="BR536" s="69"/>
      <c r="BS536" s="69"/>
      <c r="BT536" s="69"/>
      <c r="BU536" s="69"/>
    </row>
    <row r="537" spans="15:73" x14ac:dyDescent="0.2"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D537" s="69"/>
      <c r="AE537" s="69"/>
      <c r="AF537" s="69"/>
      <c r="AG537" s="69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  <c r="AV537" s="69"/>
      <c r="AW537" s="69"/>
      <c r="AX537" s="69"/>
      <c r="AY537" s="69"/>
      <c r="AZ537" s="69"/>
      <c r="BA537" s="69"/>
      <c r="BB537" s="69"/>
      <c r="BC537" s="69"/>
      <c r="BD537" s="69"/>
      <c r="BE537" s="69"/>
      <c r="BF537" s="69"/>
      <c r="BG537" s="69"/>
      <c r="BH537" s="69"/>
      <c r="BI537" s="69"/>
      <c r="BJ537" s="69"/>
      <c r="BK537" s="69"/>
      <c r="BL537" s="69"/>
      <c r="BM537" s="69"/>
      <c r="BN537" s="69"/>
      <c r="BO537" s="69"/>
      <c r="BP537" s="69"/>
      <c r="BQ537" s="69"/>
      <c r="BR537" s="69"/>
      <c r="BS537" s="69"/>
      <c r="BT537" s="69"/>
      <c r="BU537" s="69"/>
    </row>
    <row r="538" spans="15:73" x14ac:dyDescent="0.2"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D538" s="69"/>
      <c r="AE538" s="69"/>
      <c r="AF538" s="69"/>
      <c r="AG538" s="69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  <c r="AV538" s="69"/>
      <c r="AW538" s="69"/>
      <c r="AX538" s="69"/>
      <c r="AY538" s="69"/>
      <c r="AZ538" s="69"/>
      <c r="BA538" s="69"/>
      <c r="BB538" s="69"/>
      <c r="BC538" s="69"/>
      <c r="BD538" s="69"/>
      <c r="BE538" s="69"/>
      <c r="BF538" s="69"/>
      <c r="BG538" s="69"/>
      <c r="BH538" s="69"/>
      <c r="BI538" s="69"/>
      <c r="BJ538" s="69"/>
      <c r="BK538" s="69"/>
      <c r="BL538" s="69"/>
      <c r="BM538" s="69"/>
      <c r="BN538" s="69"/>
      <c r="BO538" s="69"/>
      <c r="BP538" s="69"/>
      <c r="BQ538" s="69"/>
      <c r="BR538" s="69"/>
      <c r="BS538" s="69"/>
      <c r="BT538" s="69"/>
      <c r="BU538" s="69"/>
    </row>
    <row r="539" spans="15:73" x14ac:dyDescent="0.2"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D539" s="69"/>
      <c r="AE539" s="69"/>
      <c r="AF539" s="69"/>
      <c r="AG539" s="69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  <c r="AV539" s="69"/>
      <c r="AW539" s="69"/>
      <c r="AX539" s="69"/>
      <c r="AY539" s="69"/>
      <c r="AZ539" s="69"/>
      <c r="BA539" s="69"/>
      <c r="BB539" s="69"/>
      <c r="BC539" s="69"/>
      <c r="BD539" s="69"/>
      <c r="BE539" s="69"/>
      <c r="BF539" s="69"/>
      <c r="BG539" s="69"/>
      <c r="BH539" s="69"/>
      <c r="BI539" s="69"/>
      <c r="BJ539" s="69"/>
      <c r="BK539" s="69"/>
      <c r="BL539" s="69"/>
      <c r="BM539" s="69"/>
      <c r="BN539" s="69"/>
      <c r="BO539" s="69"/>
      <c r="BP539" s="69"/>
      <c r="BQ539" s="69"/>
      <c r="BR539" s="69"/>
      <c r="BS539" s="69"/>
      <c r="BT539" s="69"/>
      <c r="BU539" s="69"/>
    </row>
    <row r="540" spans="15:73" x14ac:dyDescent="0.2"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D540" s="69"/>
      <c r="AE540" s="69"/>
      <c r="AF540" s="69"/>
      <c r="AG540" s="69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  <c r="AV540" s="69"/>
      <c r="AW540" s="69"/>
      <c r="AX540" s="69"/>
      <c r="AY540" s="69"/>
      <c r="AZ540" s="69"/>
      <c r="BA540" s="69"/>
      <c r="BB540" s="69"/>
      <c r="BC540" s="69"/>
      <c r="BD540" s="69"/>
      <c r="BE540" s="69"/>
      <c r="BF540" s="69"/>
      <c r="BG540" s="69"/>
      <c r="BH540" s="69"/>
      <c r="BI540" s="69"/>
      <c r="BJ540" s="69"/>
      <c r="BK540" s="69"/>
      <c r="BL540" s="69"/>
      <c r="BM540" s="69"/>
      <c r="BN540" s="69"/>
      <c r="BO540" s="69"/>
      <c r="BP540" s="69"/>
      <c r="BQ540" s="69"/>
      <c r="BR540" s="69"/>
      <c r="BS540" s="69"/>
      <c r="BT540" s="69"/>
      <c r="BU540" s="69"/>
    </row>
    <row r="541" spans="15:73" x14ac:dyDescent="0.2"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D541" s="69"/>
      <c r="AE541" s="69"/>
      <c r="AF541" s="69"/>
      <c r="AG541" s="69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  <c r="AV541" s="69"/>
      <c r="AW541" s="69"/>
      <c r="AX541" s="69"/>
      <c r="AY541" s="69"/>
      <c r="AZ541" s="69"/>
      <c r="BA541" s="69"/>
      <c r="BB541" s="69"/>
      <c r="BC541" s="69"/>
      <c r="BD541" s="69"/>
      <c r="BE541" s="69"/>
      <c r="BF541" s="69"/>
      <c r="BG541" s="69"/>
      <c r="BH541" s="69"/>
      <c r="BI541" s="69"/>
      <c r="BJ541" s="69"/>
      <c r="BK541" s="69"/>
      <c r="BL541" s="69"/>
      <c r="BM541" s="69"/>
      <c r="BN541" s="69"/>
      <c r="BO541" s="69"/>
      <c r="BP541" s="69"/>
      <c r="BQ541" s="69"/>
      <c r="BR541" s="69"/>
      <c r="BS541" s="69"/>
      <c r="BT541" s="69"/>
      <c r="BU541" s="69"/>
    </row>
    <row r="542" spans="15:73" x14ac:dyDescent="0.2"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D542" s="69"/>
      <c r="AE542" s="69"/>
      <c r="AF542" s="69"/>
      <c r="AG542" s="69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  <c r="AV542" s="69"/>
      <c r="AW542" s="69"/>
      <c r="AX542" s="69"/>
      <c r="AY542" s="69"/>
      <c r="AZ542" s="69"/>
      <c r="BA542" s="69"/>
      <c r="BB542" s="69"/>
      <c r="BC542" s="69"/>
      <c r="BD542" s="69"/>
      <c r="BE542" s="69"/>
      <c r="BF542" s="69"/>
      <c r="BG542" s="69"/>
      <c r="BH542" s="69"/>
      <c r="BI542" s="69"/>
      <c r="BJ542" s="69"/>
      <c r="BK542" s="69"/>
      <c r="BL542" s="69"/>
      <c r="BM542" s="69"/>
      <c r="BN542" s="69"/>
      <c r="BO542" s="69"/>
      <c r="BP542" s="69"/>
      <c r="BQ542" s="69"/>
      <c r="BR542" s="69"/>
      <c r="BS542" s="69"/>
      <c r="BT542" s="69"/>
      <c r="BU542" s="69"/>
    </row>
    <row r="543" spans="15:73" x14ac:dyDescent="0.2"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D543" s="69"/>
      <c r="AE543" s="69"/>
      <c r="AF543" s="69"/>
      <c r="AG543" s="69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  <c r="AV543" s="69"/>
      <c r="AW543" s="69"/>
      <c r="AX543" s="69"/>
      <c r="AY543" s="69"/>
      <c r="AZ543" s="69"/>
      <c r="BA543" s="69"/>
      <c r="BB543" s="69"/>
      <c r="BC543" s="69"/>
      <c r="BD543" s="69"/>
      <c r="BE543" s="69"/>
      <c r="BF543" s="69"/>
      <c r="BG543" s="69"/>
      <c r="BH543" s="69"/>
      <c r="BI543" s="69"/>
      <c r="BJ543" s="69"/>
      <c r="BK543" s="69"/>
      <c r="BL543" s="69"/>
      <c r="BM543" s="69"/>
      <c r="BN543" s="69"/>
      <c r="BO543" s="69"/>
      <c r="BP543" s="69"/>
      <c r="BQ543" s="69"/>
      <c r="BR543" s="69"/>
      <c r="BS543" s="69"/>
      <c r="BT543" s="69"/>
      <c r="BU543" s="69"/>
    </row>
    <row r="544" spans="15:73" x14ac:dyDescent="0.2"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D544" s="69"/>
      <c r="AE544" s="69"/>
      <c r="AF544" s="69"/>
      <c r="AG544" s="69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  <c r="AV544" s="69"/>
      <c r="AW544" s="69"/>
      <c r="AX544" s="69"/>
      <c r="AY544" s="69"/>
      <c r="AZ544" s="69"/>
      <c r="BA544" s="69"/>
      <c r="BB544" s="69"/>
      <c r="BC544" s="69"/>
      <c r="BD544" s="69"/>
      <c r="BE544" s="69"/>
      <c r="BF544" s="69"/>
      <c r="BG544" s="69"/>
      <c r="BH544" s="69"/>
      <c r="BI544" s="69"/>
      <c r="BJ544" s="69"/>
      <c r="BK544" s="69"/>
      <c r="BL544" s="69"/>
      <c r="BM544" s="69"/>
      <c r="BN544" s="69"/>
      <c r="BO544" s="69"/>
      <c r="BP544" s="69"/>
      <c r="BQ544" s="69"/>
      <c r="BR544" s="69"/>
      <c r="BS544" s="69"/>
      <c r="BT544" s="69"/>
      <c r="BU544" s="69"/>
    </row>
    <row r="545" spans="15:73" x14ac:dyDescent="0.2"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D545" s="69"/>
      <c r="AE545" s="69"/>
      <c r="AF545" s="69"/>
      <c r="AG545" s="69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  <c r="AV545" s="69"/>
      <c r="AW545" s="69"/>
      <c r="AX545" s="69"/>
      <c r="AY545" s="69"/>
      <c r="AZ545" s="69"/>
      <c r="BA545" s="69"/>
      <c r="BB545" s="69"/>
      <c r="BC545" s="69"/>
      <c r="BD545" s="69"/>
      <c r="BE545" s="69"/>
      <c r="BF545" s="69"/>
      <c r="BG545" s="69"/>
      <c r="BH545" s="69"/>
      <c r="BI545" s="69"/>
      <c r="BJ545" s="69"/>
      <c r="BK545" s="69"/>
      <c r="BL545" s="69"/>
      <c r="BM545" s="69"/>
      <c r="BN545" s="69"/>
      <c r="BO545" s="69"/>
      <c r="BP545" s="69"/>
      <c r="BQ545" s="69"/>
      <c r="BR545" s="69"/>
      <c r="BS545" s="69"/>
      <c r="BT545" s="69"/>
      <c r="BU545" s="69"/>
    </row>
  </sheetData>
  <dataConsolidate link="1"/>
  <phoneticPr fontId="10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43"/>
  <sheetViews>
    <sheetView showGridLines="0" zoomScale="80" zoomScaleNormal="80" workbookViewId="0"/>
  </sheetViews>
  <sheetFormatPr defaultRowHeight="12.75" x14ac:dyDescent="0.2"/>
  <cols>
    <col min="1" max="1" width="14.7109375" style="27" customWidth="1"/>
    <col min="2" max="2" width="11.7109375" style="27" customWidth="1"/>
    <col min="3" max="3" width="11.7109375" style="27" bestFit="1" customWidth="1"/>
    <col min="4" max="4" width="8.7109375" style="27" bestFit="1" customWidth="1"/>
    <col min="5" max="5" width="11.5703125" style="27" bestFit="1" customWidth="1"/>
    <col min="6" max="6" width="1.7109375" style="27" customWidth="1"/>
    <col min="7" max="9" width="11.5703125" style="27" bestFit="1" customWidth="1"/>
    <col min="10" max="10" width="10.7109375" style="27" customWidth="1"/>
    <col min="11" max="16384" width="9.140625" style="27"/>
  </cols>
  <sheetData>
    <row r="1" spans="1:10" ht="14.25" x14ac:dyDescent="0.2">
      <c r="A1" s="26" t="s">
        <v>136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4.25" x14ac:dyDescent="0.2">
      <c r="A2" s="28"/>
      <c r="B2" s="166" t="s">
        <v>0</v>
      </c>
      <c r="C2" s="166"/>
      <c r="D2" s="166"/>
      <c r="E2" s="166"/>
      <c r="F2" s="32"/>
      <c r="G2" s="166" t="s">
        <v>17</v>
      </c>
      <c r="H2" s="166"/>
      <c r="I2" s="166"/>
      <c r="J2" s="28"/>
    </row>
    <row r="3" spans="1:10" ht="14.25" x14ac:dyDescent="0.2">
      <c r="A3" s="28" t="s">
        <v>64</v>
      </c>
      <c r="B3" s="30" t="s">
        <v>8</v>
      </c>
      <c r="C3" s="34"/>
      <c r="D3" s="34"/>
      <c r="E3" s="34"/>
      <c r="F3" s="34"/>
      <c r="G3" s="34"/>
      <c r="H3" s="34"/>
      <c r="I3" s="34"/>
      <c r="J3" s="30" t="s">
        <v>26</v>
      </c>
    </row>
    <row r="4" spans="1:10" ht="14.25" x14ac:dyDescent="0.2">
      <c r="A4" s="35" t="s">
        <v>65</v>
      </c>
      <c r="B4" s="37" t="s">
        <v>25</v>
      </c>
      <c r="C4" s="37" t="s">
        <v>1</v>
      </c>
      <c r="D4" s="37" t="s">
        <v>2</v>
      </c>
      <c r="E4" s="39" t="s">
        <v>24</v>
      </c>
      <c r="F4" s="38"/>
      <c r="G4" s="37" t="s">
        <v>27</v>
      </c>
      <c r="H4" s="37" t="s">
        <v>23</v>
      </c>
      <c r="I4" s="37" t="s">
        <v>24</v>
      </c>
      <c r="J4" s="37" t="s">
        <v>74</v>
      </c>
    </row>
    <row r="5" spans="1:10" ht="14.25" x14ac:dyDescent="0.2">
      <c r="A5" s="28"/>
      <c r="B5" s="167" t="s">
        <v>80</v>
      </c>
      <c r="C5" s="167"/>
      <c r="D5" s="167"/>
      <c r="E5" s="167"/>
      <c r="F5" s="167"/>
      <c r="G5" s="167"/>
      <c r="H5" s="167"/>
      <c r="I5" s="167"/>
      <c r="J5" s="167"/>
    </row>
    <row r="6" spans="1:10" ht="14.25" x14ac:dyDescent="0.2">
      <c r="A6" s="28" t="s">
        <v>117</v>
      </c>
      <c r="B6" s="73">
        <f>B11</f>
        <v>402.01499999999999</v>
      </c>
      <c r="C6" s="74">
        <f>C23</f>
        <v>51100.43</v>
      </c>
      <c r="D6" s="74">
        <f>D23</f>
        <v>639.45289700599983</v>
      </c>
      <c r="E6" s="46">
        <f>E23</f>
        <v>52141.897897005998</v>
      </c>
      <c r="F6" s="74"/>
      <c r="G6" s="74">
        <f>G23</f>
        <v>37966.877728954991</v>
      </c>
      <c r="H6" s="74">
        <f>H23</f>
        <v>13833.684168051001</v>
      </c>
      <c r="I6" s="74">
        <f>I23</f>
        <v>51800.561897005995</v>
      </c>
      <c r="J6" s="74">
        <f>E6-I6</f>
        <v>341.33600000000297</v>
      </c>
    </row>
    <row r="7" spans="1:10" ht="16.5" x14ac:dyDescent="0.2">
      <c r="A7" s="28" t="s">
        <v>120</v>
      </c>
      <c r="B7" s="73">
        <f>J6</f>
        <v>341.33600000000297</v>
      </c>
      <c r="C7" s="74">
        <v>50658.663999999997</v>
      </c>
      <c r="D7" s="74">
        <v>825</v>
      </c>
      <c r="E7" s="46">
        <f>SUM(B7:D7)</f>
        <v>51825</v>
      </c>
      <c r="F7" s="74"/>
      <c r="G7" s="74">
        <f>I7-H7</f>
        <v>37275</v>
      </c>
      <c r="H7" s="74">
        <v>14100</v>
      </c>
      <c r="I7" s="74">
        <f>E7-J7</f>
        <v>51375</v>
      </c>
      <c r="J7" s="74">
        <v>450</v>
      </c>
    </row>
    <row r="8" spans="1:10" ht="16.5" x14ac:dyDescent="0.2">
      <c r="A8" s="28" t="s">
        <v>151</v>
      </c>
      <c r="B8" s="73">
        <f>J7</f>
        <v>450</v>
      </c>
      <c r="C8" s="74">
        <v>51400</v>
      </c>
      <c r="D8" s="74">
        <v>450</v>
      </c>
      <c r="E8" s="46">
        <f>SUM(B8:D8)</f>
        <v>52300</v>
      </c>
      <c r="F8" s="74"/>
      <c r="G8" s="74">
        <f>I8-H8</f>
        <v>37600</v>
      </c>
      <c r="H8" s="74">
        <v>14200</v>
      </c>
      <c r="I8" s="74">
        <f>E8-J8</f>
        <v>51800</v>
      </c>
      <c r="J8" s="74">
        <v>500</v>
      </c>
    </row>
    <row r="9" spans="1:10" ht="14.25" x14ac:dyDescent="0.2">
      <c r="A9" s="28"/>
      <c r="B9" s="75"/>
      <c r="C9" s="75"/>
      <c r="D9" s="75"/>
      <c r="E9" s="75"/>
      <c r="F9" s="75"/>
      <c r="G9" s="74"/>
      <c r="H9" s="75"/>
      <c r="I9" s="75"/>
      <c r="J9" s="75"/>
    </row>
    <row r="10" spans="1:10" ht="15" x14ac:dyDescent="0.25">
      <c r="A10" s="76" t="s">
        <v>117</v>
      </c>
      <c r="B10" s="77"/>
      <c r="C10" s="12"/>
      <c r="D10" s="12"/>
      <c r="E10" s="12"/>
      <c r="F10" s="12"/>
      <c r="G10" s="12"/>
      <c r="H10" s="12"/>
      <c r="I10" s="12"/>
      <c r="J10" s="12"/>
    </row>
    <row r="11" spans="1:10" ht="14.25" x14ac:dyDescent="0.2">
      <c r="A11" s="32" t="s">
        <v>45</v>
      </c>
      <c r="B11" s="77">
        <f>360.387+41.628</f>
        <v>402.01499999999999</v>
      </c>
      <c r="C11" s="12">
        <v>4381.8320000000003</v>
      </c>
      <c r="D11" s="12">
        <f>(43274*1.10231)/1000</f>
        <v>47.701362939999996</v>
      </c>
      <c r="E11" s="12">
        <f>SUM(B11:D11)</f>
        <v>4831.5483629400005</v>
      </c>
      <c r="F11" s="10"/>
      <c r="G11" s="9">
        <f t="shared" ref="G11:G22" si="0">I11-H11</f>
        <v>3335.8568790440004</v>
      </c>
      <c r="H11" s="12">
        <f>(1025421.6*1.10231)/1000</f>
        <v>1130.3324838959998</v>
      </c>
      <c r="I11" s="10">
        <f t="shared" ref="I11:I22" si="1">E11-J11</f>
        <v>4466.1893629400001</v>
      </c>
      <c r="J11" s="10">
        <v>365.35899999999998</v>
      </c>
    </row>
    <row r="12" spans="1:10" ht="14.25" x14ac:dyDescent="0.2">
      <c r="A12" s="32" t="s">
        <v>46</v>
      </c>
      <c r="B12" s="77">
        <f t="shared" ref="B12:B22" si="2">J11</f>
        <v>365.35899999999998</v>
      </c>
      <c r="C12" s="12">
        <v>4111.7719999999999</v>
      </c>
      <c r="D12" s="12">
        <f>(33004.7*1.10231)/1000</f>
        <v>36.381410856999999</v>
      </c>
      <c r="E12" s="12">
        <f t="shared" ref="E12:E18" si="3">SUM(B12:D12)</f>
        <v>4513.5124108570008</v>
      </c>
      <c r="F12" s="12"/>
      <c r="G12" s="9">
        <f t="shared" si="0"/>
        <v>2808.0372888130009</v>
      </c>
      <c r="H12" s="12">
        <f>(1123152.4*1.10231)/1000</f>
        <v>1238.0621220439998</v>
      </c>
      <c r="I12" s="10">
        <f t="shared" si="1"/>
        <v>4046.0994108570007</v>
      </c>
      <c r="J12" s="10">
        <v>467.41300000000001</v>
      </c>
    </row>
    <row r="13" spans="1:10" ht="14.25" x14ac:dyDescent="0.2">
      <c r="A13" s="32" t="s">
        <v>47</v>
      </c>
      <c r="B13" s="77">
        <f t="shared" si="2"/>
        <v>467.41300000000001</v>
      </c>
      <c r="C13" s="12">
        <v>4337.5720000000001</v>
      </c>
      <c r="D13" s="12">
        <f>(47624.6*1.10231)/1000</f>
        <v>52.497072825999993</v>
      </c>
      <c r="E13" s="12">
        <f t="shared" si="3"/>
        <v>4857.4820728260001</v>
      </c>
      <c r="F13" s="12"/>
      <c r="G13" s="9">
        <f t="shared" si="0"/>
        <v>3394.591402043</v>
      </c>
      <c r="H13" s="12">
        <f>(985039.3*1.10231)/1000</f>
        <v>1085.818670783</v>
      </c>
      <c r="I13" s="10">
        <f t="shared" si="1"/>
        <v>4480.410072826</v>
      </c>
      <c r="J13" s="10">
        <v>377.072</v>
      </c>
    </row>
    <row r="14" spans="1:10" ht="14.25" x14ac:dyDescent="0.2">
      <c r="A14" s="32" t="s">
        <v>48</v>
      </c>
      <c r="B14" s="77">
        <f t="shared" si="2"/>
        <v>377.072</v>
      </c>
      <c r="C14" s="12">
        <v>4425.7489999999998</v>
      </c>
      <c r="D14" s="12">
        <f>(55344*1.10231)/1000</f>
        <v>61.006244639999998</v>
      </c>
      <c r="E14" s="12">
        <f t="shared" si="3"/>
        <v>4863.8272446399997</v>
      </c>
      <c r="F14" s="12"/>
      <c r="G14" s="9">
        <f t="shared" si="0"/>
        <v>3443.2361162819998</v>
      </c>
      <c r="H14" s="12">
        <f>(975821.8*1.10231)/1000</f>
        <v>1075.6581283579999</v>
      </c>
      <c r="I14" s="10">
        <f t="shared" si="1"/>
        <v>4518.8942446399997</v>
      </c>
      <c r="J14" s="10">
        <v>344.93299999999999</v>
      </c>
    </row>
    <row r="15" spans="1:10" ht="14.25" x14ac:dyDescent="0.2">
      <c r="A15" s="32" t="s">
        <v>49</v>
      </c>
      <c r="B15" s="77">
        <f t="shared" si="2"/>
        <v>344.93299999999999</v>
      </c>
      <c r="C15" s="12">
        <v>4122.6279999999997</v>
      </c>
      <c r="D15" s="12">
        <f>(45646.7*1.10231)/1000</f>
        <v>50.316813876999994</v>
      </c>
      <c r="E15" s="12">
        <f t="shared" si="3"/>
        <v>4517.8778138769994</v>
      </c>
      <c r="F15" s="12"/>
      <c r="G15" s="9">
        <f t="shared" si="0"/>
        <v>2732.7443837479996</v>
      </c>
      <c r="H15" s="12">
        <f>(1218155.9*1.10231)/1000</f>
        <v>1342.7854301289997</v>
      </c>
      <c r="I15" s="10">
        <f t="shared" si="1"/>
        <v>4075.5298138769995</v>
      </c>
      <c r="J15" s="10">
        <v>442.34800000000001</v>
      </c>
    </row>
    <row r="16" spans="1:10" ht="14.25" x14ac:dyDescent="0.2">
      <c r="A16" s="32" t="s">
        <v>50</v>
      </c>
      <c r="B16" s="77">
        <f t="shared" si="2"/>
        <v>442.34800000000001</v>
      </c>
      <c r="C16" s="12">
        <v>4517.9129999999996</v>
      </c>
      <c r="D16" s="12">
        <f>(57701.5*1.10231)/1000</f>
        <v>63.604940464999991</v>
      </c>
      <c r="E16" s="12">
        <f t="shared" si="3"/>
        <v>5023.8659404649998</v>
      </c>
      <c r="F16" s="12"/>
      <c r="G16" s="9">
        <f t="shared" si="0"/>
        <v>3241.9729331999997</v>
      </c>
      <c r="H16" s="12">
        <f>(1239981.5*1.10231)/1000</f>
        <v>1366.8440072649998</v>
      </c>
      <c r="I16" s="10">
        <f t="shared" si="1"/>
        <v>4608.8169404649998</v>
      </c>
      <c r="J16" s="10">
        <v>415.04899999999998</v>
      </c>
    </row>
    <row r="17" spans="1:10" ht="14.25" x14ac:dyDescent="0.2">
      <c r="A17" s="32" t="s">
        <v>51</v>
      </c>
      <c r="B17" s="77">
        <f t="shared" si="2"/>
        <v>415.04899999999998</v>
      </c>
      <c r="C17" s="12">
        <v>4312.1769999999997</v>
      </c>
      <c r="D17" s="12">
        <f>(48315.4*1.10231)/1000</f>
        <v>53.258548574000002</v>
      </c>
      <c r="E17" s="12">
        <f t="shared" si="3"/>
        <v>4780.4845485739997</v>
      </c>
      <c r="F17" s="12"/>
      <c r="G17" s="9">
        <f t="shared" si="0"/>
        <v>3183.0079535909999</v>
      </c>
      <c r="H17" s="12">
        <f>(1098859.3*1.10231)/1000</f>
        <v>1211.2835949829998</v>
      </c>
      <c r="I17" s="10">
        <f t="shared" si="1"/>
        <v>4394.2915485739995</v>
      </c>
      <c r="J17" s="10">
        <v>386.19299999999998</v>
      </c>
    </row>
    <row r="18" spans="1:10" ht="14.25" x14ac:dyDescent="0.2">
      <c r="A18" s="32" t="s">
        <v>52</v>
      </c>
      <c r="B18" s="77">
        <f t="shared" si="2"/>
        <v>386.19299999999998</v>
      </c>
      <c r="C18" s="12">
        <v>4240.9799999999996</v>
      </c>
      <c r="D18" s="12">
        <f>(41067.2*1.10231)/1000</f>
        <v>45.268785231999992</v>
      </c>
      <c r="E18" s="12">
        <f t="shared" si="3"/>
        <v>4672.4417852319993</v>
      </c>
      <c r="F18" s="12"/>
      <c r="G18" s="9">
        <f t="shared" si="0"/>
        <v>3091.2519027089993</v>
      </c>
      <c r="H18" s="12">
        <f>(982793.3*1.10231)/1000</f>
        <v>1083.3428825230001</v>
      </c>
      <c r="I18" s="10">
        <f t="shared" si="1"/>
        <v>4174.5947852319996</v>
      </c>
      <c r="J18" s="10">
        <v>497.84699999999998</v>
      </c>
    </row>
    <row r="19" spans="1:10" ht="14.25" x14ac:dyDescent="0.2">
      <c r="A19" s="32" t="s">
        <v>53</v>
      </c>
      <c r="B19" s="77">
        <f t="shared" si="2"/>
        <v>497.84699999999998</v>
      </c>
      <c r="C19" s="12">
        <v>4167.4759999999997</v>
      </c>
      <c r="D19" s="12">
        <f>(36340.5*1.10231)/1000</f>
        <v>40.058496554999998</v>
      </c>
      <c r="E19" s="12">
        <f>SUM(B19:D19)</f>
        <v>4705.3814965549991</v>
      </c>
      <c r="F19" s="12"/>
      <c r="G19" s="9">
        <f t="shared" si="0"/>
        <v>3149.2991634139994</v>
      </c>
      <c r="H19" s="12">
        <f>(992261.1*1.10231)/1000</f>
        <v>1093.7793331409998</v>
      </c>
      <c r="I19" s="10">
        <f t="shared" si="1"/>
        <v>4243.0784965549992</v>
      </c>
      <c r="J19" s="10">
        <v>462.303</v>
      </c>
    </row>
    <row r="20" spans="1:10" ht="14.25" x14ac:dyDescent="0.2">
      <c r="A20" s="32" t="s">
        <v>55</v>
      </c>
      <c r="B20" s="77">
        <f t="shared" si="2"/>
        <v>462.303</v>
      </c>
      <c r="C20" s="12">
        <v>4361.17</v>
      </c>
      <c r="D20" s="12">
        <f>(52357*1.10231)/1000</f>
        <v>57.713644669999994</v>
      </c>
      <c r="E20" s="12">
        <f>SUM(B20:D20)</f>
        <v>4881.1866446699996</v>
      </c>
      <c r="F20" s="12"/>
      <c r="G20" s="9">
        <f t="shared" si="0"/>
        <v>3328.9380029640001</v>
      </c>
      <c r="H20" s="12">
        <f>(999472.6*1.10231)/1000</f>
        <v>1101.728641706</v>
      </c>
      <c r="I20" s="10">
        <f t="shared" si="1"/>
        <v>4430.6666446700001</v>
      </c>
      <c r="J20" s="10">
        <v>450.52</v>
      </c>
    </row>
    <row r="21" spans="1:10" ht="14.25" x14ac:dyDescent="0.2">
      <c r="A21" s="32" t="s">
        <v>56</v>
      </c>
      <c r="B21" s="77">
        <f t="shared" si="2"/>
        <v>450.52</v>
      </c>
      <c r="C21" s="12">
        <v>4111.7449999999999</v>
      </c>
      <c r="D21" s="12">
        <f>(54909.8*1.10231)/1000</f>
        <v>60.527621637999999</v>
      </c>
      <c r="E21" s="12">
        <f>SUM(B21:D21)</f>
        <v>4622.7926216379992</v>
      </c>
      <c r="F21" s="12"/>
      <c r="G21" s="9">
        <f t="shared" si="0"/>
        <v>3084.1046288009993</v>
      </c>
      <c r="H21" s="12">
        <f>(1013862.7*1.10231)/1000</f>
        <v>1117.5909928369999</v>
      </c>
      <c r="I21" s="10">
        <f t="shared" si="1"/>
        <v>4201.6956216379995</v>
      </c>
      <c r="J21" s="10">
        <v>421.09699999999998</v>
      </c>
    </row>
    <row r="22" spans="1:10" ht="14.25" x14ac:dyDescent="0.2">
      <c r="A22" s="32" t="s">
        <v>58</v>
      </c>
      <c r="B22" s="77">
        <f t="shared" si="2"/>
        <v>421.09699999999998</v>
      </c>
      <c r="C22" s="12">
        <v>4009.4160000000002</v>
      </c>
      <c r="D22" s="12">
        <f>(64517.2*1.10231)/1000</f>
        <v>71.117954731999987</v>
      </c>
      <c r="E22" s="12">
        <f>SUM(B22:D22)</f>
        <v>4501.6309547319997</v>
      </c>
      <c r="F22" s="12"/>
      <c r="G22" s="9">
        <f t="shared" si="0"/>
        <v>3173.8370743459996</v>
      </c>
      <c r="H22" s="12">
        <f>(894900.6*1.10231)/1000</f>
        <v>986.45788038599994</v>
      </c>
      <c r="I22" s="10">
        <f t="shared" si="1"/>
        <v>4160.2949547319995</v>
      </c>
      <c r="J22" s="10">
        <v>341.33600000000001</v>
      </c>
    </row>
    <row r="23" spans="1:10" ht="14.25" x14ac:dyDescent="0.2">
      <c r="A23" s="32" t="s">
        <v>3</v>
      </c>
      <c r="B23" s="77"/>
      <c r="C23" s="12">
        <f>SUM(C11:C22)</f>
        <v>51100.43</v>
      </c>
      <c r="D23" s="12">
        <f>SUM(D11:D22)</f>
        <v>639.45289700599983</v>
      </c>
      <c r="E23" s="12">
        <f>B11+C23+D23</f>
        <v>52141.897897005998</v>
      </c>
      <c r="F23" s="12"/>
      <c r="G23" s="9">
        <f>SUM(G11:G22)</f>
        <v>37966.877728954991</v>
      </c>
      <c r="H23" s="9">
        <f>SUM(H11:H22)</f>
        <v>13833.684168051001</v>
      </c>
      <c r="I23" s="10">
        <f>SUM(I11:I22)</f>
        <v>51800.561897005995</v>
      </c>
      <c r="J23" s="12"/>
    </row>
    <row r="24" spans="1:10" ht="14.25" x14ac:dyDescent="0.2">
      <c r="A24" s="32"/>
      <c r="B24" s="77"/>
      <c r="C24" s="12"/>
      <c r="D24" s="12"/>
      <c r="E24" s="12"/>
      <c r="F24" s="12"/>
      <c r="G24" s="12"/>
      <c r="H24" s="12"/>
      <c r="I24" s="12"/>
      <c r="J24" s="12"/>
    </row>
    <row r="25" spans="1:10" ht="15" x14ac:dyDescent="0.25">
      <c r="A25" s="76" t="s">
        <v>125</v>
      </c>
      <c r="B25" s="77"/>
      <c r="C25" s="12"/>
      <c r="D25" s="12"/>
      <c r="E25" s="12"/>
      <c r="F25" s="12"/>
      <c r="G25" s="12"/>
      <c r="H25" s="12"/>
      <c r="I25" s="12"/>
      <c r="J25" s="12"/>
    </row>
    <row r="26" spans="1:10" ht="14.25" x14ac:dyDescent="0.2">
      <c r="A26" s="32" t="s">
        <v>45</v>
      </c>
      <c r="B26" s="77">
        <f>J22</f>
        <v>341.33600000000001</v>
      </c>
      <c r="C26" s="12">
        <v>4615.5919999999996</v>
      </c>
      <c r="D26" s="12">
        <f>(63180.5*1.10231)/1000</f>
        <v>69.644496954999994</v>
      </c>
      <c r="E26" s="12">
        <f t="shared" ref="E26:E32" si="4">SUM(B26:D26)</f>
        <v>5026.5724969550001</v>
      </c>
      <c r="F26" s="10"/>
      <c r="G26" s="9">
        <f t="shared" ref="G26:G32" si="5">I26-H26</f>
        <v>3543.9302441150003</v>
      </c>
      <c r="H26" s="12">
        <f>(1005564*1.10231)/1000</f>
        <v>1108.44325284</v>
      </c>
      <c r="I26" s="10">
        <f t="shared" ref="I26:I32" si="6">E26-J26</f>
        <v>4652.3734969550005</v>
      </c>
      <c r="J26" s="10">
        <v>374.19900000000001</v>
      </c>
    </row>
    <row r="27" spans="1:10" ht="14.25" x14ac:dyDescent="0.2">
      <c r="A27" s="32" t="s">
        <v>46</v>
      </c>
      <c r="B27" s="77">
        <f t="shared" ref="B27:B32" si="7">J26</f>
        <v>374.19900000000001</v>
      </c>
      <c r="C27" s="12">
        <v>4516.2939999999999</v>
      </c>
      <c r="D27" s="12">
        <f>(61205.6*1.10231)/1000</f>
        <v>67.467544935999996</v>
      </c>
      <c r="E27" s="12">
        <f t="shared" si="4"/>
        <v>4957.9605449359997</v>
      </c>
      <c r="F27" s="10"/>
      <c r="G27" s="9">
        <f t="shared" si="5"/>
        <v>3223.2103220019999</v>
      </c>
      <c r="H27" s="12">
        <f>(1157871.4*1.10231)/1000</f>
        <v>1276.3332229339997</v>
      </c>
      <c r="I27" s="10">
        <f t="shared" si="6"/>
        <v>4499.5435449359993</v>
      </c>
      <c r="J27" s="10">
        <v>458.41699999999997</v>
      </c>
    </row>
    <row r="28" spans="1:10" ht="14.25" x14ac:dyDescent="0.2">
      <c r="A28" s="32" t="s">
        <v>47</v>
      </c>
      <c r="B28" s="77">
        <f t="shared" si="7"/>
        <v>458.41699999999997</v>
      </c>
      <c r="C28" s="12">
        <v>4540.9309999999996</v>
      </c>
      <c r="D28" s="12">
        <f>(58666.4*1.10231)/1000</f>
        <v>64.668559383999991</v>
      </c>
      <c r="E28" s="12">
        <f t="shared" si="4"/>
        <v>5064.0165593840002</v>
      </c>
      <c r="F28" s="10"/>
      <c r="G28" s="9">
        <f t="shared" si="5"/>
        <v>3257.6761174220001</v>
      </c>
      <c r="H28" s="12">
        <f>(1312650.2*1.10231)/1000</f>
        <v>1446.9474419619999</v>
      </c>
      <c r="I28" s="10">
        <f t="shared" si="6"/>
        <v>4704.6235593840001</v>
      </c>
      <c r="J28" s="10">
        <v>359.39299999999997</v>
      </c>
    </row>
    <row r="29" spans="1:10" ht="14.25" x14ac:dyDescent="0.2">
      <c r="A29" s="32" t="s">
        <v>48</v>
      </c>
      <c r="B29" s="77">
        <f t="shared" si="7"/>
        <v>359.39299999999997</v>
      </c>
      <c r="C29" s="12">
        <v>4665.652</v>
      </c>
      <c r="D29" s="12">
        <f>(62004.8*1.10231)/1000</f>
        <v>68.348511087999995</v>
      </c>
      <c r="E29" s="12">
        <f t="shared" si="4"/>
        <v>5093.3935110880002</v>
      </c>
      <c r="F29" s="10"/>
      <c r="G29" s="9">
        <f t="shared" si="5"/>
        <v>3080.2815676670002</v>
      </c>
      <c r="H29" s="12">
        <f>(1322049.1*1.10231)/1000</f>
        <v>1457.3079434209999</v>
      </c>
      <c r="I29" s="10">
        <f t="shared" si="6"/>
        <v>4537.5895110880001</v>
      </c>
      <c r="J29" s="10">
        <v>555.80399999999997</v>
      </c>
    </row>
    <row r="30" spans="1:10" ht="14.25" x14ac:dyDescent="0.2">
      <c r="A30" s="32" t="s">
        <v>49</v>
      </c>
      <c r="B30" s="77">
        <f t="shared" si="7"/>
        <v>555.80399999999997</v>
      </c>
      <c r="C30" s="12">
        <v>3918.6709999999998</v>
      </c>
      <c r="D30" s="12">
        <f>(60831.4*1.10231)/1000</f>
        <v>67.055060533999992</v>
      </c>
      <c r="E30" s="12">
        <f t="shared" si="4"/>
        <v>4541.5300605339999</v>
      </c>
      <c r="F30" s="10"/>
      <c r="G30" s="9">
        <f t="shared" si="5"/>
        <v>2640.8198255869997</v>
      </c>
      <c r="H30" s="12">
        <f>(1194443.7*1.10231)/1000</f>
        <v>1316.647234947</v>
      </c>
      <c r="I30" s="10">
        <f t="shared" si="6"/>
        <v>3957.4670605339998</v>
      </c>
      <c r="J30" s="10">
        <v>584.06299999999999</v>
      </c>
    </row>
    <row r="31" spans="1:10" ht="14.25" x14ac:dyDescent="0.2">
      <c r="A31" s="32" t="s">
        <v>50</v>
      </c>
      <c r="B31" s="77">
        <f t="shared" si="7"/>
        <v>584.06299999999999</v>
      </c>
      <c r="C31" s="12">
        <v>4476.5870000000004</v>
      </c>
      <c r="D31" s="12">
        <f>(66448.6*1.10231)/1000</f>
        <v>73.246956265999998</v>
      </c>
      <c r="E31" s="12">
        <f t="shared" si="4"/>
        <v>5133.8969562660004</v>
      </c>
      <c r="F31" s="10"/>
      <c r="G31" s="9">
        <f t="shared" si="5"/>
        <v>3387.3791584980008</v>
      </c>
      <c r="H31" s="12">
        <f>(1178232.8*1.10231)/1000</f>
        <v>1298.777797768</v>
      </c>
      <c r="I31" s="10">
        <f t="shared" si="6"/>
        <v>4686.1569562660006</v>
      </c>
      <c r="J31" s="10">
        <v>447.74</v>
      </c>
    </row>
    <row r="32" spans="1:10" ht="14.25" x14ac:dyDescent="0.2">
      <c r="A32" s="32" t="s">
        <v>51</v>
      </c>
      <c r="B32" s="77">
        <f t="shared" si="7"/>
        <v>447.74</v>
      </c>
      <c r="C32" s="12">
        <v>4044.7089999999998</v>
      </c>
      <c r="D32" s="12">
        <f>(61739.5*1.10231)/1000</f>
        <v>68.056068244999992</v>
      </c>
      <c r="E32" s="12">
        <f t="shared" si="4"/>
        <v>4560.5050682449992</v>
      </c>
      <c r="F32" s="10"/>
      <c r="G32" s="9">
        <f t="shared" si="5"/>
        <v>3050.7248173269991</v>
      </c>
      <c r="H32" s="12">
        <f>(959597.8*1.10231)/1000</f>
        <v>1057.774250918</v>
      </c>
      <c r="I32" s="10">
        <f t="shared" si="6"/>
        <v>4108.4990682449989</v>
      </c>
      <c r="J32" s="10">
        <v>452.00599999999997</v>
      </c>
    </row>
    <row r="33" spans="1:10" ht="14.25" x14ac:dyDescent="0.2">
      <c r="A33" s="32" t="s">
        <v>52</v>
      </c>
      <c r="B33" s="77">
        <f t="shared" ref="B33" si="8">J32</f>
        <v>452.00599999999997</v>
      </c>
      <c r="C33" s="12">
        <v>4122.884</v>
      </c>
      <c r="D33" s="12">
        <f>(59425.5*1.10231)/1000</f>
        <v>65.505322905</v>
      </c>
      <c r="E33" s="12">
        <f>SUM(B33:D33)</f>
        <v>4640.3953229050003</v>
      </c>
      <c r="F33" s="10"/>
      <c r="G33" s="9">
        <f t="shared" ref="G33:G35" si="9">I33-H33</f>
        <v>2948.6927628190006</v>
      </c>
      <c r="H33" s="12">
        <f>(952770.6*1.10231)/1000</f>
        <v>1050.2485600859998</v>
      </c>
      <c r="I33" s="10">
        <f>E33-J33</f>
        <v>3998.9413229050006</v>
      </c>
      <c r="J33" s="10">
        <v>641.45399999999995</v>
      </c>
    </row>
    <row r="34" spans="1:10" ht="14.25" x14ac:dyDescent="0.2">
      <c r="A34" s="32" t="s">
        <v>53</v>
      </c>
      <c r="B34" s="77">
        <f>J33</f>
        <v>641.45399999999995</v>
      </c>
      <c r="C34" s="12">
        <v>3833.951</v>
      </c>
      <c r="D34" s="12">
        <f>(57647.2*1.10231)/1000</f>
        <v>63.545085031999989</v>
      </c>
      <c r="E34" s="12">
        <f>SUM(B34:D34)</f>
        <v>4538.9500850320001</v>
      </c>
      <c r="F34" s="10"/>
      <c r="G34" s="9">
        <f t="shared" si="9"/>
        <v>3182.6439690309999</v>
      </c>
      <c r="H34" s="12">
        <f>(832167.1*1.10231)/1000</f>
        <v>917.30611600099996</v>
      </c>
      <c r="I34" s="10">
        <f>E34-J34</f>
        <v>4099.9500850320001</v>
      </c>
      <c r="J34" s="10">
        <v>439</v>
      </c>
    </row>
    <row r="35" spans="1:10" ht="14.25" x14ac:dyDescent="0.2">
      <c r="A35" s="32" t="s">
        <v>55</v>
      </c>
      <c r="B35" s="77">
        <f>J34</f>
        <v>439</v>
      </c>
      <c r="C35" s="12">
        <v>3966.9639999999999</v>
      </c>
      <c r="D35" s="12">
        <f>(80443.6*1.10231)/1000</f>
        <v>88.673784716</v>
      </c>
      <c r="E35" s="12">
        <f>SUM(B35:D35)</f>
        <v>4494.6377847160002</v>
      </c>
      <c r="F35" s="10"/>
      <c r="G35" s="9">
        <f t="shared" si="9"/>
        <v>2936.8318779750002</v>
      </c>
      <c r="H35" s="12">
        <f>(980821.1*1.10231)/1000</f>
        <v>1081.1689067409998</v>
      </c>
      <c r="I35" s="10">
        <f>E35-J35</f>
        <v>4018.000784716</v>
      </c>
      <c r="J35" s="10">
        <v>476.637</v>
      </c>
    </row>
    <row r="36" spans="1:10" ht="14.25" x14ac:dyDescent="0.2">
      <c r="A36" s="26" t="s">
        <v>126</v>
      </c>
      <c r="B36" s="78"/>
      <c r="C36" s="63">
        <f>SUM(C26:C35)</f>
        <v>42702.234999999993</v>
      </c>
      <c r="D36" s="63">
        <f>SUM(D26:D35)</f>
        <v>696.21139006099997</v>
      </c>
      <c r="E36" s="63">
        <f>B26+C36+D36</f>
        <v>43739.782390060995</v>
      </c>
      <c r="F36" s="63"/>
      <c r="G36" s="63">
        <f>SUM(G26:G35)</f>
        <v>31252.190662443001</v>
      </c>
      <c r="H36" s="63">
        <f>SUM(H26:H35)</f>
        <v>12010.954727618002</v>
      </c>
      <c r="I36" s="63">
        <f>SUM(I26:I35)</f>
        <v>43263.145390061007</v>
      </c>
      <c r="J36" s="63"/>
    </row>
    <row r="37" spans="1:10" ht="16.5" x14ac:dyDescent="0.2">
      <c r="A37" s="79" t="s">
        <v>119</v>
      </c>
      <c r="B37" s="28"/>
      <c r="C37" s="28"/>
      <c r="D37" s="28"/>
      <c r="E37" s="28"/>
      <c r="F37" s="28"/>
      <c r="G37" s="28"/>
      <c r="H37" s="28"/>
      <c r="I37" s="28"/>
      <c r="J37" s="28"/>
    </row>
    <row r="38" spans="1:10" ht="14.25" x14ac:dyDescent="0.2">
      <c r="A38" s="28" t="s">
        <v>94</v>
      </c>
      <c r="B38" s="28"/>
      <c r="C38" s="28"/>
      <c r="D38" s="28"/>
      <c r="E38" s="28"/>
      <c r="F38" s="28"/>
      <c r="G38" s="28"/>
      <c r="H38" s="28"/>
      <c r="I38" s="28"/>
      <c r="J38" s="28"/>
    </row>
    <row r="39" spans="1:10" ht="14.25" x14ac:dyDescent="0.2">
      <c r="A39" s="34" t="s">
        <v>18</v>
      </c>
      <c r="B39" s="68">
        <f ca="1">NOW()</f>
        <v>44452.456168402779</v>
      </c>
      <c r="C39" s="55"/>
      <c r="D39" s="47"/>
      <c r="E39" s="47"/>
      <c r="F39" s="47"/>
      <c r="G39" s="47"/>
      <c r="H39" s="47"/>
      <c r="I39" s="47"/>
      <c r="J39" s="47"/>
    </row>
    <row r="40" spans="1:10" x14ac:dyDescent="0.2">
      <c r="A40" s="80"/>
      <c r="B40" s="81"/>
      <c r="C40" s="82"/>
      <c r="D40" s="81"/>
      <c r="E40" s="81"/>
      <c r="F40" s="81"/>
      <c r="G40" s="81"/>
      <c r="H40" s="83"/>
      <c r="I40" s="81"/>
      <c r="J40" s="81"/>
    </row>
    <row r="41" spans="1:10" x14ac:dyDescent="0.2">
      <c r="A41" s="80"/>
      <c r="B41" s="81"/>
      <c r="C41" s="81"/>
      <c r="D41" s="81"/>
      <c r="E41" s="81"/>
      <c r="F41" s="81"/>
      <c r="G41" s="81"/>
      <c r="H41" s="81"/>
      <c r="I41" s="81"/>
      <c r="J41" s="81"/>
    </row>
    <row r="42" spans="1:10" x14ac:dyDescent="0.2">
      <c r="A42" s="80"/>
      <c r="B42" s="80"/>
      <c r="C42" s="80"/>
      <c r="D42" s="80"/>
      <c r="E42" s="80"/>
      <c r="F42" s="80"/>
      <c r="G42" s="80"/>
      <c r="H42" s="80"/>
      <c r="I42" s="80"/>
      <c r="J42" s="80"/>
    </row>
    <row r="43" spans="1:10" x14ac:dyDescent="0.2">
      <c r="A43" s="80"/>
      <c r="B43" s="80"/>
      <c r="C43" s="80"/>
      <c r="D43" s="80"/>
      <c r="E43" s="80"/>
      <c r="F43" s="80"/>
      <c r="G43" s="80"/>
      <c r="H43" s="80"/>
      <c r="I43" s="80"/>
      <c r="J43" s="80"/>
    </row>
  </sheetData>
  <mergeCells count="3">
    <mergeCell ref="G2:I2"/>
    <mergeCell ref="B5:J5"/>
    <mergeCell ref="B2:E2"/>
  </mergeCells>
  <phoneticPr fontId="10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39"/>
  <sheetViews>
    <sheetView showGridLines="0" zoomScale="80" zoomScaleNormal="80" workbookViewId="0"/>
  </sheetViews>
  <sheetFormatPr defaultRowHeight="12.75" x14ac:dyDescent="0.2"/>
  <cols>
    <col min="1" max="1" width="14.5703125" style="27" customWidth="1"/>
    <col min="2" max="2" width="11.7109375" style="27" customWidth="1"/>
    <col min="3" max="3" width="11.7109375" style="27" bestFit="1" customWidth="1"/>
    <col min="4" max="4" width="11" style="27" bestFit="1" customWidth="1"/>
    <col min="5" max="5" width="11.28515625" style="27" bestFit="1" customWidth="1"/>
    <col min="6" max="6" width="3.7109375" style="27" customWidth="1"/>
    <col min="7" max="7" width="11.5703125" style="27" bestFit="1" customWidth="1"/>
    <col min="8" max="8" width="10.7109375" style="27" customWidth="1"/>
    <col min="9" max="9" width="12.7109375" style="27" customWidth="1"/>
    <col min="10" max="10" width="10.28515625" style="27" bestFit="1" customWidth="1"/>
    <col min="11" max="11" width="11.5703125" style="27" bestFit="1" customWidth="1"/>
    <col min="12" max="12" width="10.28515625" style="27" bestFit="1" customWidth="1"/>
    <col min="13" max="16384" width="9.140625" style="27"/>
  </cols>
  <sheetData>
    <row r="1" spans="1:13" ht="14.25" x14ac:dyDescent="0.2">
      <c r="A1" s="26" t="s">
        <v>137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ht="14.25" x14ac:dyDescent="0.2">
      <c r="A2" s="28"/>
      <c r="B2" s="166" t="s">
        <v>0</v>
      </c>
      <c r="C2" s="166"/>
      <c r="D2" s="166"/>
      <c r="E2" s="166"/>
      <c r="F2" s="32"/>
      <c r="G2" s="166" t="s">
        <v>17</v>
      </c>
      <c r="H2" s="166"/>
      <c r="I2" s="166"/>
      <c r="J2" s="71"/>
      <c r="K2" s="71"/>
      <c r="L2" s="28"/>
    </row>
    <row r="3" spans="1:13" ht="14.25" x14ac:dyDescent="0.2">
      <c r="A3" s="28" t="s">
        <v>64</v>
      </c>
      <c r="B3" s="30" t="s">
        <v>28</v>
      </c>
      <c r="C3" s="49" t="s">
        <v>1</v>
      </c>
      <c r="D3" s="49" t="s">
        <v>29</v>
      </c>
      <c r="E3" s="49" t="s">
        <v>24</v>
      </c>
      <c r="F3" s="49"/>
      <c r="G3" s="71" t="s">
        <v>27</v>
      </c>
      <c r="H3" s="71"/>
      <c r="I3" s="71"/>
      <c r="J3" s="49" t="s">
        <v>31</v>
      </c>
      <c r="K3" s="49" t="s">
        <v>24</v>
      </c>
      <c r="L3" s="49" t="s">
        <v>26</v>
      </c>
    </row>
    <row r="4" spans="1:13" ht="16.5" x14ac:dyDescent="0.2">
      <c r="A4" s="35" t="s">
        <v>65</v>
      </c>
      <c r="B4" s="37" t="s">
        <v>25</v>
      </c>
      <c r="C4" s="38"/>
      <c r="D4" s="38"/>
      <c r="E4" s="38"/>
      <c r="F4" s="38"/>
      <c r="G4" s="37" t="s">
        <v>3</v>
      </c>
      <c r="H4" s="37" t="s">
        <v>156</v>
      </c>
      <c r="I4" s="37" t="s">
        <v>164</v>
      </c>
      <c r="J4" s="38"/>
      <c r="K4" s="38"/>
      <c r="L4" s="49" t="s">
        <v>74</v>
      </c>
    </row>
    <row r="5" spans="1:13" ht="14.25" x14ac:dyDescent="0.2">
      <c r="A5" s="28"/>
      <c r="B5" s="168" t="s">
        <v>82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1:13" ht="14.25" x14ac:dyDescent="0.2">
      <c r="A6" s="28" t="s">
        <v>117</v>
      </c>
      <c r="B6" s="75">
        <f>B11</f>
        <v>1775.316</v>
      </c>
      <c r="C6" s="75">
        <f>C23</f>
        <v>24911.120999999996</v>
      </c>
      <c r="D6" s="75">
        <f>D23</f>
        <v>320.33400168419996</v>
      </c>
      <c r="E6" s="75">
        <f>E23</f>
        <v>27006.771001684196</v>
      </c>
      <c r="F6" s="75"/>
      <c r="G6" s="75">
        <f>G23</f>
        <v>22317.405787813401</v>
      </c>
      <c r="H6" s="46">
        <f>H23</f>
        <v>8657.8000000000011</v>
      </c>
      <c r="I6" s="46">
        <f>I23</f>
        <v>13659.605787813402</v>
      </c>
      <c r="J6" s="75">
        <f>J23</f>
        <v>2836.6902138707997</v>
      </c>
      <c r="K6" s="75">
        <f>K23</f>
        <v>25154.0960016842</v>
      </c>
      <c r="L6" s="75">
        <f>L22</f>
        <v>1852.675</v>
      </c>
      <c r="M6" s="149"/>
    </row>
    <row r="7" spans="1:13" ht="16.5" x14ac:dyDescent="0.2">
      <c r="A7" s="28" t="s">
        <v>120</v>
      </c>
      <c r="B7" s="75">
        <f>L6</f>
        <v>1852.675</v>
      </c>
      <c r="C7" s="75">
        <v>24980</v>
      </c>
      <c r="D7" s="75">
        <v>265</v>
      </c>
      <c r="E7" s="75">
        <f>SUM(B7:D7)</f>
        <v>27097.674999999999</v>
      </c>
      <c r="F7" s="75"/>
      <c r="G7" s="75">
        <f>K7-J7</f>
        <v>23525</v>
      </c>
      <c r="H7" s="46">
        <v>8800</v>
      </c>
      <c r="I7" s="46">
        <f>G7-H7</f>
        <v>14725</v>
      </c>
      <c r="J7" s="75">
        <v>1715</v>
      </c>
      <c r="K7" s="75">
        <f>E7-L7</f>
        <v>25240</v>
      </c>
      <c r="L7" s="75">
        <v>1857.6749999999993</v>
      </c>
      <c r="M7" s="147"/>
    </row>
    <row r="8" spans="1:13" ht="16.5" x14ac:dyDescent="0.2">
      <c r="A8" s="28" t="s">
        <v>151</v>
      </c>
      <c r="B8" s="75">
        <f>L7</f>
        <v>1857.6749999999993</v>
      </c>
      <c r="C8" s="75">
        <v>25420</v>
      </c>
      <c r="D8" s="75">
        <v>450</v>
      </c>
      <c r="E8" s="75">
        <f>SUM(B8:D8)</f>
        <v>27727.674999999999</v>
      </c>
      <c r="F8" s="75"/>
      <c r="G8" s="75">
        <f>K8-J8</f>
        <v>25000</v>
      </c>
      <c r="H8" s="46">
        <v>11000</v>
      </c>
      <c r="I8" s="46">
        <f>G8-H8</f>
        <v>14000</v>
      </c>
      <c r="J8" s="75">
        <v>1250</v>
      </c>
      <c r="K8" s="75">
        <f>E8-L8</f>
        <v>26250</v>
      </c>
      <c r="L8" s="75">
        <v>1477.6749999999993</v>
      </c>
    </row>
    <row r="9" spans="1:13" ht="14.25" x14ac:dyDescent="0.2">
      <c r="A9" s="28"/>
      <c r="B9" s="75"/>
      <c r="C9" s="75"/>
      <c r="D9" s="75"/>
      <c r="E9" s="75"/>
      <c r="F9" s="75"/>
      <c r="G9" s="75"/>
      <c r="H9" s="75"/>
      <c r="I9" s="148"/>
      <c r="J9" s="75"/>
      <c r="K9" s="75"/>
      <c r="L9" s="75"/>
    </row>
    <row r="10" spans="1:13" ht="15" x14ac:dyDescent="0.25">
      <c r="A10" s="50" t="s">
        <v>117</v>
      </c>
      <c r="B10" s="84"/>
      <c r="C10" s="12"/>
      <c r="D10" s="12"/>
      <c r="E10" s="12"/>
      <c r="F10" s="10"/>
      <c r="G10" s="12"/>
      <c r="H10" s="12"/>
      <c r="I10" s="12"/>
      <c r="J10" s="12"/>
      <c r="K10" s="12"/>
      <c r="L10" s="10"/>
    </row>
    <row r="11" spans="1:13" ht="14.25" x14ac:dyDescent="0.2">
      <c r="A11" s="32" t="s">
        <v>45</v>
      </c>
      <c r="B11" s="10">
        <f>1400.569+374.747</f>
        <v>1775.316</v>
      </c>
      <c r="C11" s="12">
        <v>2150</v>
      </c>
      <c r="D11" s="12">
        <f>(13830.4*2204.622)/1000000</f>
        <v>30.490804108799999</v>
      </c>
      <c r="E11" s="12">
        <f t="shared" ref="E11:E18" si="0">SUM(B11:D11)</f>
        <v>3955.8068041088</v>
      </c>
      <c r="F11" s="10"/>
      <c r="G11" s="10">
        <f t="shared" ref="G11:G22" si="1">K11-J11</f>
        <v>1882.1233921921998</v>
      </c>
      <c r="H11" s="12">
        <v>624.20000000000005</v>
      </c>
      <c r="I11" s="12">
        <f t="shared" ref="I11:I22" si="2">G11-H11</f>
        <v>1257.9233921921998</v>
      </c>
      <c r="J11" s="12">
        <f>(114615.3*2204.622)/1000000</f>
        <v>252.68341191659999</v>
      </c>
      <c r="K11" s="12">
        <f t="shared" ref="K11:K22" si="3">E11-L11</f>
        <v>2134.8068041088</v>
      </c>
      <c r="L11" s="10">
        <v>1821</v>
      </c>
    </row>
    <row r="12" spans="1:13" ht="14.25" x14ac:dyDescent="0.2">
      <c r="A12" s="32" t="s">
        <v>46</v>
      </c>
      <c r="B12" s="10">
        <f t="shared" ref="B12:B22" si="4">L11</f>
        <v>1821</v>
      </c>
      <c r="C12" s="12">
        <v>1999.6</v>
      </c>
      <c r="D12" s="12">
        <f>(11144.5*2204.622)/1000000</f>
        <v>24.569409878999998</v>
      </c>
      <c r="E12" s="12">
        <f t="shared" si="0"/>
        <v>3845.1694098789999</v>
      </c>
      <c r="F12" s="10"/>
      <c r="G12" s="10">
        <f t="shared" si="1"/>
        <v>1707.0745634139998</v>
      </c>
      <c r="H12" s="12">
        <v>593.20000000000005</v>
      </c>
      <c r="I12" s="12">
        <f t="shared" si="2"/>
        <v>1113.8745634139998</v>
      </c>
      <c r="J12" s="12">
        <f>(116907.5*2204.622)/1000000</f>
        <v>257.73684646499999</v>
      </c>
      <c r="K12" s="12">
        <f t="shared" si="3"/>
        <v>1964.8114098789999</v>
      </c>
      <c r="L12" s="10">
        <v>1880.3579999999999</v>
      </c>
    </row>
    <row r="13" spans="1:13" ht="14.25" x14ac:dyDescent="0.2">
      <c r="A13" s="32" t="s">
        <v>47</v>
      </c>
      <c r="B13" s="10">
        <f t="shared" si="4"/>
        <v>1880.3579999999999</v>
      </c>
      <c r="C13" s="12">
        <v>2110.9</v>
      </c>
      <c r="D13" s="12">
        <f>(16050.2*2204.622)/1000000</f>
        <v>35.384624024399997</v>
      </c>
      <c r="E13" s="12">
        <f t="shared" si="0"/>
        <v>4026.6426240244</v>
      </c>
      <c r="F13" s="10"/>
      <c r="G13" s="10">
        <f t="shared" si="1"/>
        <v>1707.7186442402001</v>
      </c>
      <c r="H13" s="12">
        <v>607.70000000000005</v>
      </c>
      <c r="I13" s="12">
        <f t="shared" si="2"/>
        <v>1100.0186442402</v>
      </c>
      <c r="J13" s="12">
        <f>(83851.1*2204.622)/1000000</f>
        <v>184.85997978420002</v>
      </c>
      <c r="K13" s="12">
        <f t="shared" si="3"/>
        <v>1892.5786240244001</v>
      </c>
      <c r="L13" s="10">
        <v>2134.0639999999999</v>
      </c>
    </row>
    <row r="14" spans="1:13" ht="14.25" x14ac:dyDescent="0.2">
      <c r="A14" s="32" t="s">
        <v>48</v>
      </c>
      <c r="B14" s="10">
        <f t="shared" si="4"/>
        <v>2134.0639999999999</v>
      </c>
      <c r="C14" s="12">
        <v>2154.4</v>
      </c>
      <c r="D14" s="12">
        <f>(14802*2204.622)/1000000</f>
        <v>32.632814843999995</v>
      </c>
      <c r="E14" s="12">
        <f t="shared" si="0"/>
        <v>4321.0968148439997</v>
      </c>
      <c r="F14" s="10"/>
      <c r="G14" s="10">
        <f t="shared" si="1"/>
        <v>1839.9018871715998</v>
      </c>
      <c r="H14" s="12">
        <v>587.70000000000005</v>
      </c>
      <c r="I14" s="12">
        <f t="shared" si="2"/>
        <v>1252.2018871715998</v>
      </c>
      <c r="J14" s="12">
        <f>(56834.2*2204.622)/1000000</f>
        <v>125.29792767239998</v>
      </c>
      <c r="K14" s="12">
        <f t="shared" si="3"/>
        <v>1965.1998148439998</v>
      </c>
      <c r="L14" s="10">
        <v>2355.8969999999999</v>
      </c>
    </row>
    <row r="15" spans="1:13" ht="14.25" x14ac:dyDescent="0.2">
      <c r="A15" s="32" t="s">
        <v>49</v>
      </c>
      <c r="B15" s="10">
        <f t="shared" si="4"/>
        <v>2355.8969999999999</v>
      </c>
      <c r="C15" s="12">
        <v>1999.5</v>
      </c>
      <c r="D15" s="12">
        <f>(12724.7*2204.622)/1000000</f>
        <v>28.053153563399999</v>
      </c>
      <c r="E15" s="12">
        <f t="shared" si="0"/>
        <v>4383.4501535633999</v>
      </c>
      <c r="F15" s="10"/>
      <c r="G15" s="10">
        <f t="shared" si="1"/>
        <v>1610.9762973402003</v>
      </c>
      <c r="H15" s="12">
        <v>641.4</v>
      </c>
      <c r="I15" s="12">
        <f t="shared" si="2"/>
        <v>969.57629734020031</v>
      </c>
      <c r="J15" s="12">
        <f>(179475.6*2204.622)/1000000</f>
        <v>395.67585622319996</v>
      </c>
      <c r="K15" s="12">
        <f t="shared" si="3"/>
        <v>2006.6521535634001</v>
      </c>
      <c r="L15" s="10">
        <v>2376.7979999999998</v>
      </c>
    </row>
    <row r="16" spans="1:13" ht="14.25" x14ac:dyDescent="0.2">
      <c r="A16" s="32" t="s">
        <v>50</v>
      </c>
      <c r="B16" s="10">
        <f t="shared" si="4"/>
        <v>2376.7979999999998</v>
      </c>
      <c r="C16" s="12">
        <v>2201.1</v>
      </c>
      <c r="D16" s="12">
        <f>(10783.5*2204.622)/1000000</f>
        <v>23.773541336999997</v>
      </c>
      <c r="E16" s="12">
        <f t="shared" si="0"/>
        <v>4601.6715413369993</v>
      </c>
      <c r="F16" s="10"/>
      <c r="G16" s="10">
        <f t="shared" si="1"/>
        <v>1954.1939273881994</v>
      </c>
      <c r="H16" s="12">
        <v>722.7</v>
      </c>
      <c r="I16" s="12">
        <f t="shared" si="2"/>
        <v>1231.4939273881994</v>
      </c>
      <c r="J16" s="12">
        <f>(145550.4*2204.622)/1000000</f>
        <v>320.88361394879996</v>
      </c>
      <c r="K16" s="12">
        <f t="shared" si="3"/>
        <v>2275.0775413369993</v>
      </c>
      <c r="L16" s="10">
        <v>2326.5940000000001</v>
      </c>
    </row>
    <row r="17" spans="1:13" ht="14.25" x14ac:dyDescent="0.2">
      <c r="A17" s="32" t="s">
        <v>51</v>
      </c>
      <c r="B17" s="10">
        <f t="shared" si="4"/>
        <v>2326.5940000000001</v>
      </c>
      <c r="C17" s="12">
        <v>2099.5</v>
      </c>
      <c r="D17" s="12">
        <f>(11118.8*2204.622)/1000000</f>
        <v>24.512751093599999</v>
      </c>
      <c r="E17" s="12">
        <f t="shared" si="0"/>
        <v>4450.6067510936</v>
      </c>
      <c r="F17" s="10"/>
      <c r="G17" s="10">
        <f t="shared" si="1"/>
        <v>1619.8108063502</v>
      </c>
      <c r="H17" s="12">
        <v>738.5</v>
      </c>
      <c r="I17" s="12">
        <f t="shared" si="2"/>
        <v>881.31080635019998</v>
      </c>
      <c r="J17" s="12">
        <f>(104414.7*2204.622)/1000000</f>
        <v>230.19494474339999</v>
      </c>
      <c r="K17" s="12">
        <f t="shared" si="3"/>
        <v>1850.0057510935999</v>
      </c>
      <c r="L17" s="10">
        <v>2600.6010000000001</v>
      </c>
    </row>
    <row r="18" spans="1:13" ht="14.25" x14ac:dyDescent="0.2">
      <c r="A18" s="32" t="s">
        <v>52</v>
      </c>
      <c r="B18" s="10">
        <f t="shared" si="4"/>
        <v>2600.6010000000001</v>
      </c>
      <c r="C18" s="12">
        <v>2057.6</v>
      </c>
      <c r="D18" s="12">
        <f>(11040.1*2204.622)/1000000</f>
        <v>24.3392473422</v>
      </c>
      <c r="E18" s="12">
        <f t="shared" si="0"/>
        <v>4682.5402473422</v>
      </c>
      <c r="F18" s="10"/>
      <c r="G18" s="10">
        <f t="shared" si="1"/>
        <v>1879.3007666992</v>
      </c>
      <c r="H18" s="12">
        <v>872</v>
      </c>
      <c r="I18" s="12">
        <f t="shared" si="2"/>
        <v>1007.3007666992</v>
      </c>
      <c r="J18" s="12">
        <f>(162306.5*2204.622)/1000000</f>
        <v>357.82448064299996</v>
      </c>
      <c r="K18" s="12">
        <f t="shared" si="3"/>
        <v>2237.1252473422001</v>
      </c>
      <c r="L18" s="10">
        <v>2445.415</v>
      </c>
    </row>
    <row r="19" spans="1:13" ht="14.25" x14ac:dyDescent="0.2">
      <c r="A19" s="32" t="s">
        <v>53</v>
      </c>
      <c r="B19" s="10">
        <f t="shared" si="4"/>
        <v>2445.415</v>
      </c>
      <c r="C19" s="12">
        <v>2035.3</v>
      </c>
      <c r="D19" s="12">
        <f>(11446.3*2204.622)/1000000</f>
        <v>25.234764798599997</v>
      </c>
      <c r="E19" s="12">
        <f>SUM(B19:D19)</f>
        <v>4505.9497647986</v>
      </c>
      <c r="F19" s="10"/>
      <c r="G19" s="10">
        <f t="shared" si="1"/>
        <v>2067.4719706057999</v>
      </c>
      <c r="H19" s="12">
        <v>813.7</v>
      </c>
      <c r="I19" s="12">
        <f t="shared" si="2"/>
        <v>1253.7719706057999</v>
      </c>
      <c r="J19" s="12">
        <f>(76052.4*2204.622)/1000000</f>
        <v>167.66679419279998</v>
      </c>
      <c r="K19" s="12">
        <f t="shared" si="3"/>
        <v>2235.1387647985998</v>
      </c>
      <c r="L19" s="10">
        <v>2270.8110000000001</v>
      </c>
    </row>
    <row r="20" spans="1:13" ht="14.25" x14ac:dyDescent="0.2">
      <c r="A20" s="32" t="s">
        <v>55</v>
      </c>
      <c r="B20" s="10">
        <f t="shared" si="4"/>
        <v>2270.8110000000001</v>
      </c>
      <c r="C20" s="12">
        <v>2122.8000000000002</v>
      </c>
      <c r="D20" s="12">
        <f>(12544.2*2204.622)/1000000</f>
        <v>27.655219292399998</v>
      </c>
      <c r="E20" s="12">
        <f>SUM(B20:D20)</f>
        <v>4421.2662192924008</v>
      </c>
      <c r="F20" s="10"/>
      <c r="G20" s="10">
        <f t="shared" si="1"/>
        <v>2133.4107486692005</v>
      </c>
      <c r="H20" s="12">
        <v>841.5</v>
      </c>
      <c r="I20" s="12">
        <f t="shared" si="2"/>
        <v>1291.9107486692005</v>
      </c>
      <c r="J20" s="12">
        <f>(74675.6*2204.622)/1000000</f>
        <v>164.63147062319999</v>
      </c>
      <c r="K20" s="12">
        <f t="shared" si="3"/>
        <v>2298.0422192924007</v>
      </c>
      <c r="L20" s="10">
        <v>2123.2240000000002</v>
      </c>
    </row>
    <row r="21" spans="1:13" ht="14.25" x14ac:dyDescent="0.2">
      <c r="A21" s="32" t="s">
        <v>56</v>
      </c>
      <c r="B21" s="10">
        <f t="shared" si="4"/>
        <v>2123.2240000000002</v>
      </c>
      <c r="C21" s="12">
        <v>2012.8</v>
      </c>
      <c r="D21" s="12">
        <f>(10365.4*2204.622)/1000000</f>
        <v>22.851788878799997</v>
      </c>
      <c r="E21" s="12">
        <f>SUM(B21:D21)</f>
        <v>4158.8757888788004</v>
      </c>
      <c r="F21" s="10"/>
      <c r="G21" s="10">
        <f t="shared" si="1"/>
        <v>2013.3924589964006</v>
      </c>
      <c r="H21" s="12">
        <v>812</v>
      </c>
      <c r="I21" s="12">
        <f t="shared" si="2"/>
        <v>1201.3924589964006</v>
      </c>
      <c r="J21" s="12">
        <f>(90889.2*2204.622)/1000000</f>
        <v>200.37632988239997</v>
      </c>
      <c r="K21" s="12">
        <f t="shared" si="3"/>
        <v>2213.7687888788005</v>
      </c>
      <c r="L21" s="10">
        <v>1945.107</v>
      </c>
    </row>
    <row r="22" spans="1:13" ht="14.25" x14ac:dyDescent="0.2">
      <c r="A22" s="32" t="s">
        <v>58</v>
      </c>
      <c r="B22" s="10">
        <f t="shared" si="4"/>
        <v>1945.107</v>
      </c>
      <c r="C22" s="12">
        <v>1967.6210000000001</v>
      </c>
      <c r="D22" s="12">
        <f>(9451*2204.622)/1000000</f>
        <v>20.835882521999999</v>
      </c>
      <c r="E22" s="12">
        <f>SUM(B22:D22)</f>
        <v>3933.5638825219999</v>
      </c>
      <c r="F22" s="10"/>
      <c r="G22" s="10">
        <f t="shared" si="1"/>
        <v>1902.0303247462002</v>
      </c>
      <c r="H22" s="12">
        <v>803.2</v>
      </c>
      <c r="I22" s="12">
        <f t="shared" si="2"/>
        <v>1098.8303247462002</v>
      </c>
      <c r="J22" s="12">
        <f>(81128.9*2204.622)/1000000</f>
        <v>178.85855777579997</v>
      </c>
      <c r="K22" s="12">
        <f t="shared" si="3"/>
        <v>2080.8888825220001</v>
      </c>
      <c r="L22" s="10">
        <v>1852.675</v>
      </c>
      <c r="M22" s="58"/>
    </row>
    <row r="23" spans="1:13" ht="14.25" x14ac:dyDescent="0.2">
      <c r="A23" s="32" t="s">
        <v>3</v>
      </c>
      <c r="B23" s="10"/>
      <c r="C23" s="12">
        <f>SUM(C11:C22)</f>
        <v>24911.120999999996</v>
      </c>
      <c r="D23" s="12">
        <f t="shared" ref="D23:K23" si="5">SUM(D11:D22)</f>
        <v>320.33400168419996</v>
      </c>
      <c r="E23" s="12">
        <f>B11+C23+D23</f>
        <v>27006.771001684196</v>
      </c>
      <c r="F23" s="12"/>
      <c r="G23" s="12">
        <f t="shared" si="5"/>
        <v>22317.405787813401</v>
      </c>
      <c r="H23" s="12">
        <f t="shared" si="5"/>
        <v>8657.8000000000011</v>
      </c>
      <c r="I23" s="12">
        <f t="shared" si="5"/>
        <v>13659.605787813402</v>
      </c>
      <c r="J23" s="12">
        <f t="shared" si="5"/>
        <v>2836.6902138707997</v>
      </c>
      <c r="K23" s="12">
        <f t="shared" si="5"/>
        <v>25154.0960016842</v>
      </c>
      <c r="L23" s="10"/>
    </row>
    <row r="24" spans="1:13" ht="14.25" x14ac:dyDescent="0.2">
      <c r="A24" s="32"/>
      <c r="B24" s="84"/>
      <c r="C24" s="12"/>
      <c r="D24" s="165"/>
      <c r="E24" s="12"/>
      <c r="F24" s="10"/>
      <c r="G24" s="12"/>
      <c r="H24" s="12"/>
      <c r="I24" s="12"/>
      <c r="J24" s="12"/>
      <c r="K24" s="12"/>
      <c r="L24" s="10"/>
    </row>
    <row r="25" spans="1:13" ht="15" x14ac:dyDescent="0.25">
      <c r="A25" s="50" t="s">
        <v>125</v>
      </c>
      <c r="B25" s="84"/>
      <c r="C25" s="12"/>
      <c r="D25" s="12"/>
      <c r="E25" s="12"/>
      <c r="F25" s="10"/>
      <c r="G25" s="12"/>
      <c r="H25" s="12"/>
      <c r="I25" s="12"/>
      <c r="J25" s="12"/>
      <c r="K25" s="12"/>
      <c r="L25" s="10"/>
    </row>
    <row r="26" spans="1:13" ht="14.25" x14ac:dyDescent="0.2">
      <c r="A26" s="32" t="s">
        <v>45</v>
      </c>
      <c r="B26" s="10">
        <f>L22</f>
        <v>1852.675</v>
      </c>
      <c r="C26" s="12">
        <v>2282.471</v>
      </c>
      <c r="D26" s="12">
        <f>(9292.2*2204.622)/1000000</f>
        <v>20.485788548399999</v>
      </c>
      <c r="E26" s="12">
        <f t="shared" ref="E26:E32" si="6">SUM(B26:D26)</f>
        <v>4155.6317885483995</v>
      </c>
      <c r="F26" s="10"/>
      <c r="G26" s="10">
        <v>2003.5</v>
      </c>
      <c r="H26" s="12">
        <v>795</v>
      </c>
      <c r="I26" s="12">
        <v>1208.5</v>
      </c>
      <c r="J26" s="12">
        <f>(84043.5*2204.622)/1000000</f>
        <v>185.28414905699998</v>
      </c>
      <c r="K26" s="12">
        <f t="shared" ref="K26:K32" si="7">E26-L26</f>
        <v>2187.6207885483996</v>
      </c>
      <c r="L26" s="10">
        <v>1968.011</v>
      </c>
    </row>
    <row r="27" spans="1:13" ht="14.25" x14ac:dyDescent="0.2">
      <c r="A27" s="32" t="s">
        <v>46</v>
      </c>
      <c r="B27" s="10">
        <f t="shared" ref="B27:B32" si="8">L26</f>
        <v>1968.011</v>
      </c>
      <c r="C27" s="12">
        <v>2206.7919999999999</v>
      </c>
      <c r="D27" s="12">
        <f>(9620.6*2204.622)/1000000</f>
        <v>21.2097864132</v>
      </c>
      <c r="E27" s="12">
        <f t="shared" si="6"/>
        <v>4196.0127864132</v>
      </c>
      <c r="F27" s="10"/>
      <c r="G27" s="10">
        <v>1901.6</v>
      </c>
      <c r="H27" s="12">
        <v>752</v>
      </c>
      <c r="I27" s="12">
        <v>1149.5999999999999</v>
      </c>
      <c r="J27" s="12">
        <f>(80375.8*2204.622)/1000000</f>
        <v>177.19825694760002</v>
      </c>
      <c r="K27" s="12">
        <f t="shared" si="7"/>
        <v>2078.9157864131998</v>
      </c>
      <c r="L27" s="10">
        <v>2117.0970000000002</v>
      </c>
    </row>
    <row r="28" spans="1:13" ht="14.25" x14ac:dyDescent="0.2">
      <c r="A28" s="32" t="s">
        <v>47</v>
      </c>
      <c r="B28" s="10">
        <f t="shared" si="8"/>
        <v>2117.0970000000002</v>
      </c>
      <c r="C28" s="12">
        <v>2233.4859999999999</v>
      </c>
      <c r="D28" s="12">
        <f>(11495.6*2204.622)/1000000</f>
        <v>25.343452663199997</v>
      </c>
      <c r="E28" s="12">
        <f t="shared" si="6"/>
        <v>4375.9264526632005</v>
      </c>
      <c r="F28" s="10"/>
      <c r="G28" s="10">
        <v>2030</v>
      </c>
      <c r="H28" s="12">
        <v>831</v>
      </c>
      <c r="I28" s="12">
        <v>1199</v>
      </c>
      <c r="J28" s="12">
        <f>(106506.7*2204.622)/1000000</f>
        <v>234.8070139674</v>
      </c>
      <c r="K28" s="12">
        <f t="shared" si="7"/>
        <v>2265.1404526632004</v>
      </c>
      <c r="L28" s="10">
        <v>2110.7860000000001</v>
      </c>
    </row>
    <row r="29" spans="1:13" ht="14.25" x14ac:dyDescent="0.2">
      <c r="A29" s="32" t="s">
        <v>48</v>
      </c>
      <c r="B29" s="10">
        <f t="shared" si="8"/>
        <v>2110.7860000000001</v>
      </c>
      <c r="C29" s="12">
        <v>2308.752</v>
      </c>
      <c r="D29" s="12">
        <f>(8612.3*2204.622)/1000000</f>
        <v>18.986866050599996</v>
      </c>
      <c r="E29" s="12">
        <f t="shared" si="6"/>
        <v>4438.5248660506004</v>
      </c>
      <c r="F29" s="10"/>
      <c r="G29" s="10">
        <v>1804.7</v>
      </c>
      <c r="H29" s="12">
        <v>682.87599999999998</v>
      </c>
      <c r="I29" s="12">
        <v>1121.7</v>
      </c>
      <c r="J29" s="12">
        <f>(148706.1*2204.622)/1000000</f>
        <v>327.84073959419999</v>
      </c>
      <c r="K29" s="12">
        <f t="shared" si="7"/>
        <v>2132.5338660506004</v>
      </c>
      <c r="L29" s="10">
        <v>2305.991</v>
      </c>
    </row>
    <row r="30" spans="1:13" ht="14.25" x14ac:dyDescent="0.2">
      <c r="A30" s="32" t="s">
        <v>49</v>
      </c>
      <c r="B30" s="10">
        <f t="shared" si="8"/>
        <v>2305.991</v>
      </c>
      <c r="C30" s="12">
        <v>1924.749</v>
      </c>
      <c r="D30" s="12">
        <f>(9731.5*2204.622)/1000000</f>
        <v>21.454278992999996</v>
      </c>
      <c r="E30" s="12">
        <f t="shared" si="6"/>
        <v>4252.1942789929999</v>
      </c>
      <c r="F30" s="10"/>
      <c r="G30" s="10">
        <v>1690.2</v>
      </c>
      <c r="H30" s="12">
        <v>552.22799999999995</v>
      </c>
      <c r="I30" s="12">
        <v>1138.2</v>
      </c>
      <c r="J30" s="12">
        <f>(116113.6*2204.622)/1000000</f>
        <v>255.98659705919999</v>
      </c>
      <c r="K30" s="12">
        <f t="shared" si="7"/>
        <v>1946.2062789930001</v>
      </c>
      <c r="L30" s="10">
        <v>2305.9879999999998</v>
      </c>
    </row>
    <row r="31" spans="1:13" ht="14.25" x14ac:dyDescent="0.2">
      <c r="A31" s="32" t="s">
        <v>50</v>
      </c>
      <c r="B31" s="10">
        <f t="shared" si="8"/>
        <v>2305.9879999999998</v>
      </c>
      <c r="C31" s="12">
        <v>2222.123</v>
      </c>
      <c r="D31" s="12">
        <f>(9663.9*2204.622)/1000000</f>
        <v>21.305246545799996</v>
      </c>
      <c r="E31" s="12">
        <f t="shared" si="6"/>
        <v>4549.4162465458003</v>
      </c>
      <c r="F31" s="10"/>
      <c r="G31" s="10">
        <v>2148.1999999999998</v>
      </c>
      <c r="H31" s="12">
        <v>740.35334330000001</v>
      </c>
      <c r="I31" s="12">
        <v>1408.2</v>
      </c>
      <c r="J31" s="12">
        <f>(70685.2*2204.622)/1000000</f>
        <v>155.83414699439999</v>
      </c>
      <c r="K31" s="12">
        <f t="shared" si="7"/>
        <v>2304.1382465458005</v>
      </c>
      <c r="L31" s="10">
        <v>2245.2779999999998</v>
      </c>
    </row>
    <row r="32" spans="1:13" ht="14.25" x14ac:dyDescent="0.2">
      <c r="A32" s="32" t="s">
        <v>51</v>
      </c>
      <c r="B32" s="10">
        <f t="shared" si="8"/>
        <v>2245.2779999999998</v>
      </c>
      <c r="C32" s="12">
        <v>1991.877</v>
      </c>
      <c r="D32" s="12">
        <f>(9309.5*2204.622)/1000000</f>
        <v>20.523928509000001</v>
      </c>
      <c r="E32" s="12">
        <f t="shared" si="6"/>
        <v>4257.6789285089999</v>
      </c>
      <c r="F32" s="10"/>
      <c r="G32" s="10">
        <v>1950.5</v>
      </c>
      <c r="H32" s="12">
        <v>699.93299999999999</v>
      </c>
      <c r="I32" s="12">
        <f>G32-H32</f>
        <v>1250.567</v>
      </c>
      <c r="J32" s="12">
        <f>(58789.4*2204.622)/1000000</f>
        <v>129.60840460679998</v>
      </c>
      <c r="K32" s="12">
        <f t="shared" si="7"/>
        <v>2080.0909285089997</v>
      </c>
      <c r="L32" s="10">
        <v>2177.5880000000002</v>
      </c>
    </row>
    <row r="33" spans="1:12" ht="14.25" x14ac:dyDescent="0.2">
      <c r="A33" s="32" t="s">
        <v>52</v>
      </c>
      <c r="B33" s="10">
        <f t="shared" ref="B33" si="9">L32</f>
        <v>2177.5880000000002</v>
      </c>
      <c r="C33" s="12">
        <v>2043.135</v>
      </c>
      <c r="D33" s="12">
        <f>(7517.3*2204.622)/1000000</f>
        <v>16.572804960599999</v>
      </c>
      <c r="E33" s="12">
        <f t="shared" ref="E33:E35" si="10">SUM(B33:D33)</f>
        <v>4237.2958049605995</v>
      </c>
      <c r="F33" s="10"/>
      <c r="G33" s="10">
        <f>K33-J33</f>
        <v>2019.0822001577997</v>
      </c>
      <c r="H33" s="12">
        <v>787.56200000000001</v>
      </c>
      <c r="I33" s="12">
        <f>G33-H33</f>
        <v>1231.5202001577995</v>
      </c>
      <c r="J33" s="12">
        <f>(32307.4*2204.622)/1000000</f>
        <v>71.225604802800007</v>
      </c>
      <c r="K33" s="12">
        <f>E33-L33</f>
        <v>2090.3078049605997</v>
      </c>
      <c r="L33" s="10">
        <v>2146.9879999999998</v>
      </c>
    </row>
    <row r="34" spans="1:12" ht="14.25" x14ac:dyDescent="0.2">
      <c r="A34" s="32" t="s">
        <v>53</v>
      </c>
      <c r="B34" s="10">
        <f>L33</f>
        <v>2146.9879999999998</v>
      </c>
      <c r="C34" s="12">
        <v>1908.6489999999999</v>
      </c>
      <c r="D34" s="10">
        <f>(11859.1*2204.622)/1000000</f>
        <v>26.144832760199996</v>
      </c>
      <c r="E34" s="12">
        <f t="shared" si="10"/>
        <v>4081.7818327601999</v>
      </c>
      <c r="F34" s="10"/>
      <c r="G34" s="10">
        <f>K34-J34</f>
        <v>1889.5260091224</v>
      </c>
      <c r="H34" s="12">
        <v>663.33</v>
      </c>
      <c r="I34" s="12">
        <f>G34-H34</f>
        <v>1226.1960091224</v>
      </c>
      <c r="J34" s="12">
        <f>(41549.9*2204.622)/1000000</f>
        <v>91.601823637799995</v>
      </c>
      <c r="K34" s="12">
        <f>E34-L34</f>
        <v>1981.1278327601999</v>
      </c>
      <c r="L34" s="10">
        <v>2100.654</v>
      </c>
    </row>
    <row r="35" spans="1:12" ht="14.25" x14ac:dyDescent="0.2">
      <c r="A35" s="32" t="s">
        <v>55</v>
      </c>
      <c r="B35" s="10">
        <f>L34</f>
        <v>2100.654</v>
      </c>
      <c r="C35" s="12">
        <v>1973.2449999999999</v>
      </c>
      <c r="D35" s="10">
        <f>(14747.4*2204.622)/1000000</f>
        <v>32.512442482799997</v>
      </c>
      <c r="E35" s="12">
        <f t="shared" si="10"/>
        <v>4106.4114424828003</v>
      </c>
      <c r="F35" s="10"/>
      <c r="G35" s="10">
        <f>K35-J35</f>
        <v>2000.2450604970002</v>
      </c>
      <c r="H35" s="12" t="s">
        <v>10</v>
      </c>
      <c r="I35" s="12" t="s">
        <v>10</v>
      </c>
      <c r="J35" s="12">
        <f>(16183.9*2204.622)/1000000</f>
        <v>35.679381985799999</v>
      </c>
      <c r="K35" s="12">
        <f>E35-L35</f>
        <v>2035.9244424828003</v>
      </c>
      <c r="L35" s="10">
        <v>2070.4870000000001</v>
      </c>
    </row>
    <row r="36" spans="1:12" ht="14.25" x14ac:dyDescent="0.2">
      <c r="A36" s="26" t="s">
        <v>126</v>
      </c>
      <c r="B36" s="85"/>
      <c r="C36" s="63">
        <f>SUM(C26:C35)</f>
        <v>21095.278999999999</v>
      </c>
      <c r="D36" s="85">
        <f>SUM(D26:D35)</f>
        <v>224.53942792679999</v>
      </c>
      <c r="E36" s="63">
        <f>B26+C36+D36</f>
        <v>23172.493427926798</v>
      </c>
      <c r="F36" s="85"/>
      <c r="G36" s="85">
        <f>SUM(G26:G35)</f>
        <v>19437.5532697772</v>
      </c>
      <c r="H36" s="63">
        <f>SUM(H26:H35)</f>
        <v>6504.2823433000003</v>
      </c>
      <c r="I36" s="63">
        <f>SUM(I26:I35)</f>
        <v>10933.483209280199</v>
      </c>
      <c r="J36" s="63">
        <f>SUM(J26:J35)</f>
        <v>1665.0661186529999</v>
      </c>
      <c r="K36" s="85">
        <f>SUM(K26:K35)</f>
        <v>21102.006427926804</v>
      </c>
      <c r="L36" s="85"/>
    </row>
    <row r="37" spans="1:12" ht="16.5" x14ac:dyDescent="0.2">
      <c r="A37" s="79" t="s">
        <v>157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ht="14.25" x14ac:dyDescent="0.2">
      <c r="A38" s="28" t="s">
        <v>94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 ht="14.25" x14ac:dyDescent="0.2">
      <c r="A39" s="34" t="s">
        <v>18</v>
      </c>
      <c r="B39" s="68">
        <f ca="1">NOW()</f>
        <v>44452.456168171295</v>
      </c>
    </row>
  </sheetData>
  <mergeCells count="3">
    <mergeCell ref="B5:L5"/>
    <mergeCell ref="G2:I2"/>
    <mergeCell ref="B2:E2"/>
  </mergeCells>
  <phoneticPr fontId="10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zoomScale="70" zoomScaleNormal="70" workbookViewId="0"/>
  </sheetViews>
  <sheetFormatPr defaultRowHeight="12.75" x14ac:dyDescent="0.2"/>
  <cols>
    <col min="1" max="1" width="14.7109375" style="27" customWidth="1"/>
    <col min="2" max="2" width="12.7109375" style="27" customWidth="1"/>
    <col min="3" max="3" width="10.28515625" style="27" customWidth="1"/>
    <col min="4" max="4" width="13.42578125" style="27" customWidth="1"/>
    <col min="5" max="5" width="15.28515625" style="27" customWidth="1"/>
    <col min="6" max="6" width="10.5703125" style="27" customWidth="1"/>
    <col min="7" max="7" width="11.7109375" style="27" customWidth="1"/>
    <col min="8" max="8" width="8.7109375" style="27" customWidth="1"/>
    <col min="9" max="9" width="9.7109375" style="27" customWidth="1"/>
    <col min="10" max="11" width="7.7109375" style="27" customWidth="1"/>
    <col min="12" max="12" width="8.5703125" style="27" customWidth="1"/>
    <col min="13" max="13" width="9.5703125" style="27" customWidth="1"/>
    <col min="14" max="15" width="7.5703125" style="27" customWidth="1"/>
    <col min="16" max="18" width="9.140625" style="27"/>
    <col min="19" max="19" width="17.42578125" style="27" bestFit="1" customWidth="1"/>
    <col min="20" max="20" width="9.140625" style="27"/>
    <col min="21" max="21" width="28.28515625" style="27" bestFit="1" customWidth="1"/>
    <col min="22" max="16384" width="9.140625" style="27"/>
  </cols>
  <sheetData>
    <row r="1" spans="1:15" ht="14.25" x14ac:dyDescent="0.2">
      <c r="A1" s="26" t="s">
        <v>138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8"/>
      <c r="M1" s="28"/>
      <c r="N1" s="28"/>
      <c r="O1" s="28"/>
    </row>
    <row r="2" spans="1:15" ht="14.25" x14ac:dyDescent="0.2">
      <c r="A2" s="28"/>
      <c r="B2" s="166" t="s">
        <v>0</v>
      </c>
      <c r="C2" s="166"/>
      <c r="D2" s="166"/>
      <c r="E2" s="166"/>
      <c r="F2" s="125"/>
      <c r="G2" s="166" t="s">
        <v>17</v>
      </c>
      <c r="H2" s="166"/>
      <c r="I2" s="166"/>
      <c r="J2" s="166"/>
      <c r="K2" s="125"/>
      <c r="L2" s="28"/>
      <c r="M2" s="28"/>
      <c r="N2" s="28"/>
      <c r="O2" s="28"/>
    </row>
    <row r="3" spans="1:15" ht="14.25" x14ac:dyDescent="0.2">
      <c r="A3" s="28" t="s">
        <v>64</v>
      </c>
      <c r="B3" s="34" t="s">
        <v>28</v>
      </c>
      <c r="C3" s="34"/>
      <c r="D3" s="34"/>
      <c r="E3" s="34"/>
      <c r="F3" s="126"/>
      <c r="G3" s="34"/>
      <c r="H3" s="34"/>
      <c r="I3" s="34"/>
      <c r="J3" s="34"/>
      <c r="K3" s="30" t="s">
        <v>26</v>
      </c>
      <c r="L3" s="28"/>
      <c r="M3" s="28"/>
      <c r="N3" s="28"/>
      <c r="O3" s="28"/>
    </row>
    <row r="4" spans="1:15" ht="14.25" x14ac:dyDescent="0.2">
      <c r="A4" s="35" t="s">
        <v>66</v>
      </c>
      <c r="B4" s="37" t="s">
        <v>42</v>
      </c>
      <c r="C4" s="100" t="s">
        <v>1</v>
      </c>
      <c r="D4" s="39" t="s">
        <v>29</v>
      </c>
      <c r="E4" s="37" t="s">
        <v>73</v>
      </c>
      <c r="F4" s="38"/>
      <c r="G4" s="37" t="s">
        <v>32</v>
      </c>
      <c r="H4" s="37" t="s">
        <v>4</v>
      </c>
      <c r="I4" s="37" t="s">
        <v>33</v>
      </c>
      <c r="J4" s="37" t="s">
        <v>30</v>
      </c>
      <c r="K4" s="37" t="s">
        <v>25</v>
      </c>
      <c r="L4" s="28"/>
      <c r="M4" s="28"/>
      <c r="N4" s="28"/>
      <c r="O4" s="28"/>
    </row>
    <row r="5" spans="1:15" ht="14.25" x14ac:dyDescent="0.2">
      <c r="A5" s="28"/>
      <c r="B5" s="169" t="s">
        <v>14</v>
      </c>
      <c r="C5" s="169"/>
      <c r="D5" s="169"/>
      <c r="E5" s="169"/>
      <c r="F5" s="169"/>
      <c r="G5" s="169"/>
      <c r="H5" s="169"/>
      <c r="I5" s="169"/>
      <c r="J5" s="169"/>
      <c r="K5" s="169"/>
      <c r="L5" s="28"/>
      <c r="M5" s="28"/>
      <c r="N5" s="28"/>
      <c r="O5" s="28"/>
    </row>
    <row r="6" spans="1:15" ht="14.25" x14ac:dyDescent="0.2">
      <c r="A6" s="28" t="s">
        <v>117</v>
      </c>
      <c r="B6" s="127">
        <v>476.97603460691334</v>
      </c>
      <c r="C6" s="127">
        <v>5945</v>
      </c>
      <c r="D6" s="128">
        <v>1.0880000000000001</v>
      </c>
      <c r="E6" s="127">
        <v>6423.0879999999997</v>
      </c>
      <c r="F6" s="129"/>
      <c r="G6" s="127">
        <v>1712.0099999999998</v>
      </c>
      <c r="H6" s="130">
        <v>340.64748459156186</v>
      </c>
      <c r="I6" s="127">
        <v>3914.4029999999993</v>
      </c>
      <c r="J6" s="131">
        <f>E6-K6</f>
        <v>5967.0811380282848</v>
      </c>
      <c r="K6" s="127">
        <v>456.0068619717149</v>
      </c>
      <c r="L6" s="28"/>
      <c r="M6" s="28"/>
      <c r="N6" s="28"/>
      <c r="O6" s="28"/>
    </row>
    <row r="7" spans="1:15" ht="16.5" x14ac:dyDescent="0.2">
      <c r="A7" s="32" t="s">
        <v>120</v>
      </c>
      <c r="B7" s="131">
        <f>K6</f>
        <v>456.0068619717149</v>
      </c>
      <c r="C7" s="131">
        <v>4509</v>
      </c>
      <c r="D7" s="132">
        <v>1</v>
      </c>
      <c r="E7" s="131">
        <f>B7+C7+D7</f>
        <v>4966.0068619717149</v>
      </c>
      <c r="F7" s="133"/>
      <c r="G7" s="131">
        <v>1562.7429999999999</v>
      </c>
      <c r="H7" s="134">
        <v>282.68453874670092</v>
      </c>
      <c r="I7" s="131">
        <f>J7-G7-H7</f>
        <v>2762.0677753251334</v>
      </c>
      <c r="J7" s="131">
        <f>E7-K7</f>
        <v>4607.4953140718344</v>
      </c>
      <c r="K7" s="131">
        <v>358.5115478998805</v>
      </c>
      <c r="L7" s="28"/>
      <c r="M7" s="28"/>
      <c r="N7" s="28"/>
      <c r="O7" s="28"/>
    </row>
    <row r="8" spans="1:15" ht="16.5" x14ac:dyDescent="0.2">
      <c r="A8" s="26" t="s">
        <v>151</v>
      </c>
      <c r="B8" s="135">
        <f>K7</f>
        <v>358.5115478998805</v>
      </c>
      <c r="C8" s="135">
        <v>5645</v>
      </c>
      <c r="D8" s="136">
        <v>1</v>
      </c>
      <c r="E8" s="135">
        <f>B8+C8+D8</f>
        <v>6004.5115478998805</v>
      </c>
      <c r="F8" s="137"/>
      <c r="G8" s="135">
        <v>1775</v>
      </c>
      <c r="H8" s="138">
        <v>300</v>
      </c>
      <c r="I8" s="135">
        <v>3463</v>
      </c>
      <c r="J8" s="135">
        <f>E8-K8</f>
        <v>5538</v>
      </c>
      <c r="K8" s="135">
        <v>466.5115478998805</v>
      </c>
      <c r="L8" s="28"/>
      <c r="M8" s="28"/>
      <c r="N8" s="28"/>
      <c r="O8" s="28"/>
    </row>
    <row r="9" spans="1:15" ht="16.5" x14ac:dyDescent="0.2">
      <c r="A9" s="79" t="s">
        <v>95</v>
      </c>
      <c r="B9" s="28"/>
      <c r="C9" s="129"/>
      <c r="D9" s="129"/>
      <c r="E9" s="129"/>
      <c r="F9" s="129"/>
      <c r="G9" s="139"/>
      <c r="H9" s="129"/>
      <c r="I9" s="129"/>
      <c r="J9" s="129"/>
      <c r="K9" s="28"/>
      <c r="L9" s="28"/>
      <c r="M9" s="28"/>
      <c r="N9" s="28"/>
      <c r="O9" s="28"/>
    </row>
    <row r="10" spans="1:15" ht="14.25" x14ac:dyDescent="0.2">
      <c r="A10" s="28" t="s">
        <v>149</v>
      </c>
      <c r="B10" s="47"/>
      <c r="C10" s="55"/>
      <c r="D10" s="28"/>
      <c r="E10" s="47"/>
      <c r="F10" s="47"/>
      <c r="G10" s="47"/>
      <c r="H10" s="47"/>
      <c r="I10" s="47"/>
      <c r="J10" s="47"/>
      <c r="K10" s="28"/>
      <c r="L10" s="28"/>
      <c r="M10" s="28"/>
      <c r="N10" s="28"/>
      <c r="O10" s="28"/>
    </row>
    <row r="11" spans="1:15" ht="14.25" x14ac:dyDescent="0.2">
      <c r="A11" s="28" t="s">
        <v>121</v>
      </c>
      <c r="B11" s="47"/>
      <c r="C11" s="55"/>
      <c r="D11" s="28"/>
      <c r="E11" s="47"/>
      <c r="F11" s="47"/>
      <c r="G11" s="47"/>
      <c r="H11" s="47"/>
      <c r="I11" s="47"/>
      <c r="J11" s="47"/>
      <c r="K11" s="28"/>
      <c r="L11" s="28"/>
      <c r="M11" s="28"/>
      <c r="N11" s="28"/>
      <c r="O11" s="28"/>
    </row>
    <row r="12" spans="1:15" ht="14.25" x14ac:dyDescent="0.2">
      <c r="A12" s="28"/>
      <c r="B12" s="47"/>
      <c r="C12" s="55"/>
      <c r="D12" s="28"/>
      <c r="E12" s="47"/>
      <c r="F12" s="47"/>
      <c r="G12" s="47"/>
      <c r="H12" s="47"/>
      <c r="I12" s="47"/>
      <c r="J12" s="47"/>
      <c r="K12" s="28"/>
      <c r="L12" s="28"/>
      <c r="M12" s="28"/>
      <c r="N12" s="28"/>
      <c r="O12" s="28"/>
    </row>
    <row r="13" spans="1:15" ht="14.25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ht="14.25" x14ac:dyDescent="0.2">
      <c r="A14" s="26" t="s">
        <v>139</v>
      </c>
      <c r="B14" s="26"/>
      <c r="C14" s="26"/>
      <c r="D14" s="26"/>
      <c r="E14" s="26"/>
      <c r="F14" s="26"/>
      <c r="G14" s="26"/>
      <c r="H14" s="26"/>
      <c r="I14" s="28"/>
      <c r="J14" s="26"/>
      <c r="K14" s="28"/>
      <c r="L14" s="28"/>
      <c r="M14" s="28"/>
      <c r="N14" s="28"/>
      <c r="O14" s="28"/>
    </row>
    <row r="15" spans="1:15" ht="14.25" x14ac:dyDescent="0.2">
      <c r="A15" s="28"/>
      <c r="B15" s="166" t="s">
        <v>0</v>
      </c>
      <c r="C15" s="166"/>
      <c r="D15" s="166"/>
      <c r="E15" s="166"/>
      <c r="F15" s="28"/>
      <c r="G15" s="166" t="s">
        <v>17</v>
      </c>
      <c r="H15" s="166"/>
      <c r="I15" s="166"/>
      <c r="J15" s="28"/>
      <c r="K15" s="28"/>
      <c r="L15" s="28"/>
      <c r="M15" s="28"/>
      <c r="N15" s="28"/>
      <c r="O15" s="28"/>
    </row>
    <row r="16" spans="1:15" ht="14.25" x14ac:dyDescent="0.2">
      <c r="A16" s="28" t="s">
        <v>64</v>
      </c>
      <c r="B16" s="30" t="s">
        <v>28</v>
      </c>
      <c r="C16" s="34"/>
      <c r="D16" s="34"/>
      <c r="E16" s="34"/>
      <c r="F16" s="34"/>
      <c r="G16" s="34"/>
      <c r="H16" s="34"/>
      <c r="I16" s="34"/>
      <c r="J16" s="30" t="s">
        <v>26</v>
      </c>
      <c r="K16" s="28"/>
      <c r="L16" s="28"/>
      <c r="M16" s="28"/>
      <c r="N16" s="28"/>
      <c r="O16" s="28"/>
    </row>
    <row r="17" spans="1:15" ht="14.25" x14ac:dyDescent="0.2">
      <c r="A17" s="35" t="s">
        <v>65</v>
      </c>
      <c r="B17" s="37" t="s">
        <v>25</v>
      </c>
      <c r="C17" s="100" t="s">
        <v>1</v>
      </c>
      <c r="D17" s="39" t="s">
        <v>29</v>
      </c>
      <c r="E17" s="37" t="s">
        <v>30</v>
      </c>
      <c r="F17" s="38"/>
      <c r="G17" s="131" t="s">
        <v>9</v>
      </c>
      <c r="H17" s="37" t="s">
        <v>4</v>
      </c>
      <c r="I17" s="39" t="s">
        <v>24</v>
      </c>
      <c r="J17" s="37" t="s">
        <v>25</v>
      </c>
      <c r="K17" s="28"/>
      <c r="L17" s="28"/>
      <c r="M17" s="28"/>
      <c r="N17" s="28"/>
      <c r="O17" s="28"/>
    </row>
    <row r="18" spans="1:15" ht="14.25" x14ac:dyDescent="0.2">
      <c r="A18" s="28"/>
      <c r="B18" s="169" t="s">
        <v>15</v>
      </c>
      <c r="C18" s="169"/>
      <c r="D18" s="169"/>
      <c r="E18" s="169"/>
      <c r="F18" s="169"/>
      <c r="G18" s="169"/>
      <c r="H18" s="169"/>
      <c r="I18" s="169"/>
      <c r="J18" s="169"/>
      <c r="K18" s="28"/>
      <c r="L18" s="28"/>
      <c r="M18" s="28"/>
      <c r="N18" s="28"/>
      <c r="O18" s="28"/>
    </row>
    <row r="19" spans="1:15" ht="14.25" x14ac:dyDescent="0.2">
      <c r="A19" s="28" t="s">
        <v>117</v>
      </c>
      <c r="B19" s="127">
        <v>43</v>
      </c>
      <c r="C19" s="130">
        <v>779.976</v>
      </c>
      <c r="D19" s="128">
        <v>0</v>
      </c>
      <c r="E19" s="130">
        <v>822.976</v>
      </c>
      <c r="F19" s="28"/>
      <c r="G19" s="130">
        <v>688.44474810762813</v>
      </c>
      <c r="H19" s="130">
        <v>109.65925189237197</v>
      </c>
      <c r="I19" s="134">
        <f>SUM(G19:H19)</f>
        <v>798.10400000000004</v>
      </c>
      <c r="J19" s="127">
        <v>24.872</v>
      </c>
      <c r="K19" s="28"/>
      <c r="L19" s="28"/>
      <c r="M19" s="28"/>
      <c r="N19" s="28"/>
      <c r="O19" s="28"/>
    </row>
    <row r="20" spans="1:15" ht="16.5" x14ac:dyDescent="0.2">
      <c r="A20" s="32" t="s">
        <v>120</v>
      </c>
      <c r="B20" s="131">
        <f>J20</f>
        <v>25</v>
      </c>
      <c r="C20" s="134">
        <v>685</v>
      </c>
      <c r="D20" s="132">
        <v>0</v>
      </c>
      <c r="E20" s="134">
        <f>B20+C20+D20</f>
        <v>710</v>
      </c>
      <c r="F20" s="133"/>
      <c r="G20" s="134">
        <v>619.87199999999996</v>
      </c>
      <c r="H20" s="134">
        <v>65</v>
      </c>
      <c r="I20" s="134">
        <f>SUM(G20:H20)</f>
        <v>684.87199999999996</v>
      </c>
      <c r="J20" s="131">
        <v>25</v>
      </c>
      <c r="K20" s="28"/>
      <c r="L20" s="28"/>
      <c r="M20" s="28"/>
      <c r="N20" s="28"/>
      <c r="O20" s="28"/>
    </row>
    <row r="21" spans="1:15" ht="16.5" x14ac:dyDescent="0.2">
      <c r="A21" s="26" t="s">
        <v>151</v>
      </c>
      <c r="B21" s="135">
        <f>J21</f>
        <v>25</v>
      </c>
      <c r="C21" s="138">
        <v>800</v>
      </c>
      <c r="D21" s="136">
        <v>0</v>
      </c>
      <c r="E21" s="138">
        <f>B21+C21+D21</f>
        <v>825</v>
      </c>
      <c r="F21" s="137"/>
      <c r="G21" s="138">
        <v>725</v>
      </c>
      <c r="H21" s="138">
        <v>75</v>
      </c>
      <c r="I21" s="138">
        <f>SUM(G21:H21)</f>
        <v>800</v>
      </c>
      <c r="J21" s="135">
        <v>25</v>
      </c>
      <c r="K21" s="28"/>
      <c r="L21" s="28"/>
      <c r="M21" s="28"/>
      <c r="N21" s="28"/>
      <c r="O21" s="28"/>
    </row>
    <row r="22" spans="1:15" ht="16.5" x14ac:dyDescent="0.2">
      <c r="A22" s="79" t="s">
        <v>95</v>
      </c>
      <c r="B22" s="28"/>
      <c r="C22" s="129"/>
      <c r="D22" s="129"/>
      <c r="E22" s="129"/>
      <c r="F22" s="129"/>
      <c r="G22" s="129"/>
      <c r="H22" s="129"/>
      <c r="I22" s="28"/>
      <c r="J22" s="28"/>
      <c r="K22" s="28"/>
      <c r="L22" s="28"/>
      <c r="M22" s="28"/>
      <c r="N22" s="28"/>
      <c r="O22" s="28"/>
    </row>
    <row r="23" spans="1:15" ht="14.25" x14ac:dyDescent="0.2">
      <c r="A23" s="28" t="s">
        <v>158</v>
      </c>
      <c r="B23" s="133"/>
      <c r="C23" s="133"/>
      <c r="D23" s="133"/>
      <c r="E23" s="133"/>
      <c r="F23" s="133"/>
      <c r="G23" s="133"/>
      <c r="H23" s="133"/>
      <c r="I23" s="28"/>
      <c r="J23" s="28"/>
      <c r="K23" s="28"/>
      <c r="L23" s="28"/>
      <c r="M23" s="28"/>
      <c r="N23" s="28"/>
      <c r="O23" s="28"/>
    </row>
    <row r="24" spans="1:15" ht="14.25" x14ac:dyDescent="0.2">
      <c r="A24" s="32"/>
      <c r="B24" s="47"/>
      <c r="C24" s="47"/>
      <c r="D24" s="47"/>
      <c r="E24" s="47"/>
      <c r="F24" s="47"/>
      <c r="G24" s="47"/>
      <c r="H24" s="47"/>
      <c r="I24" s="28"/>
      <c r="J24" s="28"/>
      <c r="K24" s="28"/>
      <c r="L24" s="28"/>
      <c r="M24" s="28"/>
      <c r="N24" s="28"/>
      <c r="O24" s="28"/>
    </row>
    <row r="25" spans="1:15" ht="14.25" x14ac:dyDescent="0.2">
      <c r="A25" s="32"/>
      <c r="B25" s="47"/>
      <c r="C25" s="55"/>
      <c r="D25" s="47"/>
      <c r="E25" s="47"/>
      <c r="F25" s="47"/>
      <c r="G25" s="47"/>
      <c r="H25" s="47"/>
      <c r="I25" s="28"/>
      <c r="J25" s="28"/>
      <c r="K25" s="28"/>
      <c r="L25" s="28"/>
      <c r="M25" s="28"/>
      <c r="N25" s="28"/>
      <c r="O25" s="28"/>
    </row>
    <row r="26" spans="1:15" ht="14.25" x14ac:dyDescent="0.2">
      <c r="A26" s="26" t="s">
        <v>140</v>
      </c>
      <c r="B26" s="26"/>
      <c r="C26" s="26"/>
      <c r="D26" s="26"/>
      <c r="E26" s="26"/>
      <c r="F26" s="26"/>
      <c r="G26" s="26"/>
      <c r="H26" s="26"/>
      <c r="I26" s="28"/>
      <c r="J26" s="26"/>
      <c r="K26" s="28"/>
      <c r="L26" s="28"/>
      <c r="M26" s="28"/>
      <c r="N26" s="28"/>
      <c r="O26" s="28"/>
    </row>
    <row r="27" spans="1:15" ht="14.25" x14ac:dyDescent="0.2">
      <c r="A27" s="28"/>
      <c r="B27" s="166" t="s">
        <v>0</v>
      </c>
      <c r="C27" s="166"/>
      <c r="D27" s="166"/>
      <c r="E27" s="166"/>
      <c r="F27" s="28"/>
      <c r="G27" s="166" t="s">
        <v>17</v>
      </c>
      <c r="H27" s="166"/>
      <c r="I27" s="166"/>
      <c r="J27" s="28"/>
      <c r="K27" s="28"/>
      <c r="L27" s="28"/>
      <c r="M27" s="28"/>
      <c r="N27" s="28"/>
      <c r="O27" s="28"/>
    </row>
    <row r="28" spans="1:15" ht="14.25" x14ac:dyDescent="0.2">
      <c r="A28" s="28" t="s">
        <v>64</v>
      </c>
      <c r="B28" s="30" t="s">
        <v>28</v>
      </c>
      <c r="C28" s="34"/>
      <c r="D28" s="34"/>
      <c r="E28" s="34"/>
      <c r="F28" s="34"/>
      <c r="G28" s="34"/>
      <c r="H28" s="34"/>
      <c r="I28" s="34"/>
      <c r="J28" s="30" t="s">
        <v>26</v>
      </c>
      <c r="K28" s="28"/>
      <c r="L28" s="28"/>
      <c r="M28" s="28"/>
      <c r="N28" s="28"/>
      <c r="O28" s="28"/>
    </row>
    <row r="29" spans="1:15" ht="14.25" x14ac:dyDescent="0.2">
      <c r="A29" s="35" t="s">
        <v>65</v>
      </c>
      <c r="B29" s="37" t="s">
        <v>25</v>
      </c>
      <c r="C29" s="37" t="s">
        <v>1</v>
      </c>
      <c r="D29" s="39" t="s">
        <v>29</v>
      </c>
      <c r="E29" s="37" t="s">
        <v>30</v>
      </c>
      <c r="F29" s="38"/>
      <c r="G29" s="37" t="s">
        <v>27</v>
      </c>
      <c r="H29" s="37" t="s">
        <v>4</v>
      </c>
      <c r="I29" s="37" t="s">
        <v>24</v>
      </c>
      <c r="J29" s="37" t="s">
        <v>74</v>
      </c>
      <c r="K29" s="28"/>
      <c r="L29" s="28"/>
      <c r="M29" s="28"/>
      <c r="N29" s="28"/>
      <c r="O29" s="28"/>
    </row>
    <row r="30" spans="1:15" ht="14.25" x14ac:dyDescent="0.2">
      <c r="A30" s="28"/>
      <c r="B30" s="169" t="s">
        <v>153</v>
      </c>
      <c r="C30" s="169"/>
      <c r="D30" s="169"/>
      <c r="E30" s="169"/>
      <c r="F30" s="169"/>
      <c r="G30" s="169"/>
      <c r="H30" s="169"/>
      <c r="I30" s="169"/>
      <c r="J30" s="169"/>
      <c r="K30" s="28"/>
      <c r="L30" s="28"/>
      <c r="M30" s="28"/>
      <c r="N30" s="28"/>
      <c r="O30" s="28"/>
    </row>
    <row r="31" spans="1:15" ht="14.25" x14ac:dyDescent="0.2">
      <c r="A31" s="28" t="s">
        <v>117</v>
      </c>
      <c r="B31" s="128">
        <v>35.040999999999997</v>
      </c>
      <c r="C31" s="130">
        <v>481.34800000000001</v>
      </c>
      <c r="D31" s="128">
        <v>0.26666000000000001</v>
      </c>
      <c r="E31" s="140">
        <f>B31+C31+D31</f>
        <v>516.65566000000001</v>
      </c>
      <c r="F31" s="28"/>
      <c r="G31" s="134">
        <f>I31-H31</f>
        <v>388.20178644136797</v>
      </c>
      <c r="H31" s="130">
        <v>83.915873558632001</v>
      </c>
      <c r="I31" s="134">
        <f>E31-J31</f>
        <v>472.11766</v>
      </c>
      <c r="J31" s="134">
        <v>44.537999999999997</v>
      </c>
      <c r="K31" s="28"/>
      <c r="L31" s="28"/>
      <c r="M31" s="28"/>
      <c r="N31" s="28"/>
      <c r="O31" s="28"/>
    </row>
    <row r="32" spans="1:15" ht="16.5" x14ac:dyDescent="0.2">
      <c r="A32" s="32" t="s">
        <v>120</v>
      </c>
      <c r="B32" s="132">
        <f>J31</f>
        <v>44.537999999999997</v>
      </c>
      <c r="C32" s="134">
        <v>430</v>
      </c>
      <c r="D32" s="132">
        <v>12</v>
      </c>
      <c r="E32" s="140">
        <f>B32+C32+D32</f>
        <v>486.53800000000001</v>
      </c>
      <c r="F32" s="133"/>
      <c r="G32" s="134">
        <f>I32-H32</f>
        <v>376.53800000000001</v>
      </c>
      <c r="H32" s="134">
        <v>65</v>
      </c>
      <c r="I32" s="134">
        <f>E32-J32</f>
        <v>441.53800000000001</v>
      </c>
      <c r="J32" s="134">
        <v>45</v>
      </c>
      <c r="K32" s="28"/>
      <c r="L32" s="28"/>
      <c r="M32" s="28"/>
      <c r="N32" s="28"/>
      <c r="O32" s="28"/>
    </row>
    <row r="33" spans="1:15" ht="16.5" x14ac:dyDescent="0.2">
      <c r="A33" s="26" t="s">
        <v>151</v>
      </c>
      <c r="B33" s="136">
        <f>J32</f>
        <v>45</v>
      </c>
      <c r="C33" s="138">
        <v>495</v>
      </c>
      <c r="D33" s="136">
        <v>5</v>
      </c>
      <c r="E33" s="141">
        <f>B33+C33+D33</f>
        <v>545</v>
      </c>
      <c r="F33" s="137"/>
      <c r="G33" s="138">
        <f>I33-H33</f>
        <v>434.35</v>
      </c>
      <c r="H33" s="138">
        <v>65.650000000000006</v>
      </c>
      <c r="I33" s="138">
        <f>E33-J33</f>
        <v>500</v>
      </c>
      <c r="J33" s="138">
        <v>45</v>
      </c>
      <c r="K33" s="28"/>
      <c r="L33" s="28"/>
      <c r="M33" s="28"/>
      <c r="N33" s="28"/>
      <c r="O33" s="28"/>
    </row>
    <row r="34" spans="1:15" ht="16.5" x14ac:dyDescent="0.2">
      <c r="A34" s="79" t="s">
        <v>95</v>
      </c>
      <c r="B34" s="28"/>
      <c r="C34" s="129"/>
      <c r="D34" s="129"/>
      <c r="E34" s="129"/>
      <c r="F34" s="129"/>
      <c r="G34" s="129"/>
      <c r="H34" s="129"/>
      <c r="I34" s="28"/>
      <c r="J34" s="28"/>
      <c r="K34" s="28"/>
      <c r="L34" s="28"/>
      <c r="M34" s="28"/>
      <c r="N34" s="28"/>
      <c r="O34" s="28"/>
    </row>
    <row r="35" spans="1:15" ht="14.25" x14ac:dyDescent="0.2">
      <c r="A35" s="28" t="s">
        <v>158</v>
      </c>
      <c r="B35" s="47"/>
      <c r="C35" s="55"/>
      <c r="D35" s="47"/>
      <c r="E35" s="47"/>
      <c r="F35" s="47"/>
      <c r="G35" s="47"/>
      <c r="H35" s="47"/>
      <c r="I35" s="28"/>
      <c r="J35" s="28"/>
      <c r="K35" s="28"/>
      <c r="L35" s="28"/>
      <c r="M35" s="28"/>
      <c r="N35" s="28"/>
      <c r="O35" s="28"/>
    </row>
    <row r="36" spans="1:15" ht="14.25" x14ac:dyDescent="0.2">
      <c r="A36" s="32"/>
      <c r="B36" s="32"/>
      <c r="C36" s="32"/>
      <c r="D36" s="32"/>
      <c r="E36" s="32"/>
      <c r="F36" s="32"/>
      <c r="G36" s="32"/>
      <c r="H36" s="32"/>
      <c r="I36" s="28"/>
      <c r="J36" s="28"/>
      <c r="K36" s="28"/>
      <c r="L36" s="28"/>
      <c r="M36" s="28"/>
      <c r="N36" s="28"/>
      <c r="O36" s="28"/>
    </row>
    <row r="37" spans="1:15" ht="14.25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ht="14.25" x14ac:dyDescent="0.2">
      <c r="A38" s="26" t="s">
        <v>141</v>
      </c>
      <c r="B38" s="26"/>
      <c r="C38" s="26"/>
      <c r="D38" s="26"/>
      <c r="E38" s="26"/>
      <c r="F38" s="26"/>
      <c r="G38" s="26"/>
      <c r="H38" s="26"/>
      <c r="I38" s="26"/>
      <c r="J38" s="28"/>
      <c r="K38" s="28"/>
      <c r="L38" s="28"/>
      <c r="M38" s="28"/>
      <c r="N38" s="28"/>
      <c r="O38" s="28"/>
    </row>
    <row r="39" spans="1:15" ht="14.25" x14ac:dyDescent="0.2">
      <c r="A39" s="28"/>
      <c r="B39" s="166" t="s">
        <v>19</v>
      </c>
      <c r="C39" s="166"/>
      <c r="D39" s="30" t="s">
        <v>22</v>
      </c>
      <c r="E39" s="166" t="s">
        <v>70</v>
      </c>
      <c r="F39" s="166"/>
      <c r="G39" s="166"/>
      <c r="H39" s="166"/>
      <c r="I39" s="28"/>
      <c r="J39" s="166" t="s">
        <v>17</v>
      </c>
      <c r="K39" s="166"/>
      <c r="L39" s="166"/>
      <c r="M39" s="166"/>
      <c r="N39" s="166"/>
      <c r="O39" s="125"/>
    </row>
    <row r="40" spans="1:15" ht="14.25" x14ac:dyDescent="0.2">
      <c r="A40" s="28" t="s">
        <v>64</v>
      </c>
      <c r="B40" s="30" t="s">
        <v>20</v>
      </c>
      <c r="C40" s="30" t="s">
        <v>21</v>
      </c>
      <c r="D40" s="28"/>
      <c r="E40" s="30" t="s">
        <v>28</v>
      </c>
      <c r="F40" s="30"/>
      <c r="G40" s="30"/>
      <c r="H40" s="30"/>
      <c r="I40" s="28"/>
      <c r="J40" s="142" t="s">
        <v>9</v>
      </c>
      <c r="K40" s="30"/>
      <c r="L40" s="30" t="s">
        <v>76</v>
      </c>
      <c r="M40" s="30"/>
      <c r="N40" s="30"/>
      <c r="O40" s="30" t="s">
        <v>26</v>
      </c>
    </row>
    <row r="41" spans="1:15" ht="14.25" x14ac:dyDescent="0.2">
      <c r="A41" s="35" t="s">
        <v>66</v>
      </c>
      <c r="B41" s="36"/>
      <c r="C41" s="36"/>
      <c r="D41" s="36"/>
      <c r="E41" s="37" t="s">
        <v>25</v>
      </c>
      <c r="F41" s="37" t="s">
        <v>1</v>
      </c>
      <c r="G41" s="37" t="s">
        <v>29</v>
      </c>
      <c r="H41" s="37" t="s">
        <v>30</v>
      </c>
      <c r="I41" s="37"/>
      <c r="J41" s="37" t="s">
        <v>34</v>
      </c>
      <c r="K41" s="37" t="s">
        <v>32</v>
      </c>
      <c r="L41" s="37" t="s">
        <v>5</v>
      </c>
      <c r="M41" s="39" t="s">
        <v>4</v>
      </c>
      <c r="N41" s="37" t="s">
        <v>24</v>
      </c>
      <c r="O41" s="37" t="s">
        <v>74</v>
      </c>
    </row>
    <row r="42" spans="1:15" ht="14.25" x14ac:dyDescent="0.2">
      <c r="A42" s="28"/>
      <c r="B42" s="170" t="s">
        <v>72</v>
      </c>
      <c r="C42" s="171"/>
      <c r="D42" s="143" t="s">
        <v>60</v>
      </c>
      <c r="E42" s="172" t="s">
        <v>16</v>
      </c>
      <c r="F42" s="169"/>
      <c r="G42" s="169"/>
      <c r="H42" s="169"/>
      <c r="I42" s="169"/>
      <c r="J42" s="169"/>
      <c r="K42" s="169"/>
      <c r="L42" s="169"/>
      <c r="M42" s="169"/>
      <c r="N42" s="169"/>
      <c r="O42" s="171"/>
    </row>
    <row r="43" spans="1:15" ht="14.25" x14ac:dyDescent="0.2">
      <c r="A43" s="28"/>
      <c r="B43" s="30"/>
      <c r="C43" s="30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4.25" x14ac:dyDescent="0.2">
      <c r="A44" s="28" t="s">
        <v>117</v>
      </c>
      <c r="B44" s="127">
        <v>1432.7</v>
      </c>
      <c r="C44" s="127">
        <v>1389.7</v>
      </c>
      <c r="D44" s="131">
        <f>F44*1000/C44</f>
        <v>3933.5734331150607</v>
      </c>
      <c r="E44" s="127">
        <v>2421.09</v>
      </c>
      <c r="F44" s="127">
        <v>5466.4870000000001</v>
      </c>
      <c r="G44" s="134">
        <v>113.82652333129602</v>
      </c>
      <c r="H44" s="131">
        <f>SUM(E44:G44)</f>
        <v>8001.4035233312961</v>
      </c>
      <c r="I44" s="127"/>
      <c r="J44" s="127">
        <v>3221.4</v>
      </c>
      <c r="K44" s="127">
        <v>774.15131240000005</v>
      </c>
      <c r="L44" s="134">
        <f>N44-J44-K44-M44</f>
        <v>277.31027254689639</v>
      </c>
      <c r="M44" s="130">
        <v>1610.288415053104</v>
      </c>
      <c r="N44" s="127">
        <v>5883.1500000000005</v>
      </c>
      <c r="O44" s="127">
        <v>2118.1880000000001</v>
      </c>
    </row>
    <row r="45" spans="1:15" ht="16.5" x14ac:dyDescent="0.2">
      <c r="A45" s="32" t="s">
        <v>120</v>
      </c>
      <c r="B45" s="131">
        <v>1664.2</v>
      </c>
      <c r="C45" s="131">
        <v>1615.8</v>
      </c>
      <c r="D45" s="131">
        <f>F45*1000/C45</f>
        <v>3796.2000247555393</v>
      </c>
      <c r="E45" s="131">
        <f>O44</f>
        <v>2118.1880000000001</v>
      </c>
      <c r="F45" s="131">
        <v>6133.9</v>
      </c>
      <c r="G45" s="134">
        <v>121.04780464882167</v>
      </c>
      <c r="H45" s="131">
        <f>SUM(E45:G45)</f>
        <v>8373.1358046488222</v>
      </c>
      <c r="I45" s="131"/>
      <c r="J45" s="131">
        <v>3357.2</v>
      </c>
      <c r="K45" s="131">
        <v>872.91017669999985</v>
      </c>
      <c r="L45" s="134">
        <f>N45-J45-K45-M45</f>
        <v>758.11198954251859</v>
      </c>
      <c r="M45" s="134">
        <v>1416.7516384063038</v>
      </c>
      <c r="N45" s="131">
        <f>H45-O45</f>
        <v>6404.9738046488219</v>
      </c>
      <c r="O45" s="131">
        <v>1968.162</v>
      </c>
    </row>
    <row r="46" spans="1:15" ht="16.5" x14ac:dyDescent="0.2">
      <c r="A46" s="26" t="s">
        <v>151</v>
      </c>
      <c r="B46" s="135">
        <v>1580</v>
      </c>
      <c r="C46" s="135">
        <v>1533</v>
      </c>
      <c r="D46" s="135">
        <f>F46*1000/C46</f>
        <v>4140.9980430528376</v>
      </c>
      <c r="E46" s="135">
        <f>O45</f>
        <v>1968.162</v>
      </c>
      <c r="F46" s="135">
        <v>6348.15</v>
      </c>
      <c r="G46" s="138">
        <v>115</v>
      </c>
      <c r="H46" s="135">
        <f>SUM(E46:G46)</f>
        <v>8431.3119999999999</v>
      </c>
      <c r="I46" s="135"/>
      <c r="J46" s="135">
        <v>3459.4934971207999</v>
      </c>
      <c r="K46" s="135">
        <v>875</v>
      </c>
      <c r="L46" s="138">
        <f>N46-J46-K46-M46</f>
        <v>663.56500000000005</v>
      </c>
      <c r="M46" s="138">
        <v>1400</v>
      </c>
      <c r="N46" s="135">
        <f>H46-O46</f>
        <v>6398.0584971208</v>
      </c>
      <c r="O46" s="135">
        <v>2033.2535028791999</v>
      </c>
    </row>
    <row r="47" spans="1:15" ht="16.5" x14ac:dyDescent="0.2">
      <c r="A47" s="79" t="s">
        <v>95</v>
      </c>
      <c r="B47" s="28"/>
      <c r="C47" s="129"/>
      <c r="D47" s="129"/>
      <c r="E47" s="129"/>
      <c r="F47" s="129"/>
      <c r="G47" s="129"/>
      <c r="H47" s="129"/>
      <c r="I47" s="28"/>
      <c r="J47" s="28"/>
      <c r="K47" s="28"/>
      <c r="L47" s="28"/>
      <c r="M47" s="28"/>
      <c r="N47" s="28"/>
      <c r="O47" s="28"/>
    </row>
    <row r="48" spans="1:15" ht="14.25" x14ac:dyDescent="0.2">
      <c r="A48" s="28" t="s">
        <v>150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4.25" x14ac:dyDescent="0.2">
      <c r="A49" s="28" t="s">
        <v>121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4.25" x14ac:dyDescent="0.2">
      <c r="A50" s="34" t="s">
        <v>18</v>
      </c>
      <c r="B50" s="144">
        <f ca="1">NOW()</f>
        <v>44452.456168402779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44.45" customHeight="1" x14ac:dyDescent="0.2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</row>
    <row r="52" spans="1:15" ht="15.75" x14ac:dyDescent="0.25">
      <c r="G52" s="107"/>
      <c r="H52" s="107"/>
    </row>
    <row r="53" spans="1:15" ht="15.75" x14ac:dyDescent="0.25">
      <c r="G53" s="107"/>
      <c r="H53" s="107"/>
    </row>
    <row r="54" spans="1:15" ht="15.75" x14ac:dyDescent="0.25">
      <c r="G54" s="107"/>
      <c r="H54" s="107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10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8"/>
  <sheetViews>
    <sheetView showGridLines="0" zoomScale="80" zoomScaleNormal="80" workbookViewId="0"/>
  </sheetViews>
  <sheetFormatPr defaultRowHeight="12.75" x14ac:dyDescent="0.2"/>
  <cols>
    <col min="1" max="1" width="11.7109375" style="27" customWidth="1"/>
    <col min="2" max="2" width="18.85546875" style="27" bestFit="1" customWidth="1"/>
    <col min="3" max="3" width="22.140625" style="27" bestFit="1" customWidth="1"/>
    <col min="4" max="5" width="25.7109375" style="27" bestFit="1" customWidth="1"/>
    <col min="6" max="6" width="16.7109375" style="27" bestFit="1" customWidth="1"/>
    <col min="7" max="7" width="18.85546875" style="27" bestFit="1" customWidth="1"/>
    <col min="8" max="16384" width="9.140625" style="27"/>
  </cols>
  <sheetData>
    <row r="1" spans="1:8" ht="15.6" customHeight="1" x14ac:dyDescent="0.2">
      <c r="A1" s="26" t="s">
        <v>142</v>
      </c>
      <c r="B1" s="26"/>
      <c r="C1" s="26"/>
      <c r="D1" s="26"/>
      <c r="E1" s="26"/>
      <c r="F1" s="26"/>
      <c r="G1" s="26"/>
      <c r="H1" s="80"/>
    </row>
    <row r="2" spans="1:8" ht="15.6" customHeight="1" x14ac:dyDescent="0.2">
      <c r="A2" s="32" t="s">
        <v>11</v>
      </c>
      <c r="B2" s="49" t="s">
        <v>96</v>
      </c>
      <c r="C2" s="49" t="s">
        <v>97</v>
      </c>
      <c r="D2" s="49" t="s">
        <v>98</v>
      </c>
      <c r="E2" s="49" t="s">
        <v>99</v>
      </c>
      <c r="F2" s="49" t="s">
        <v>100</v>
      </c>
      <c r="G2" s="49" t="s">
        <v>101</v>
      </c>
      <c r="H2" s="80"/>
    </row>
    <row r="3" spans="1:8" ht="15.6" customHeight="1" x14ac:dyDescent="0.2">
      <c r="A3" s="26" t="s">
        <v>12</v>
      </c>
      <c r="B3" s="38"/>
      <c r="C3" s="86"/>
      <c r="D3" s="86"/>
      <c r="E3" s="86"/>
      <c r="F3" s="86"/>
      <c r="G3" s="86"/>
      <c r="H3" s="80"/>
    </row>
    <row r="4" spans="1:8" ht="14.25" x14ac:dyDescent="0.2">
      <c r="A4" s="87"/>
      <c r="B4" s="88" t="s">
        <v>130</v>
      </c>
      <c r="C4" s="88" t="s">
        <v>131</v>
      </c>
      <c r="D4" s="88" t="s">
        <v>133</v>
      </c>
      <c r="E4" s="88" t="s">
        <v>133</v>
      </c>
      <c r="F4" s="88" t="s">
        <v>132</v>
      </c>
      <c r="G4" s="88" t="s">
        <v>130</v>
      </c>
      <c r="H4" s="80"/>
    </row>
    <row r="5" spans="1:8" ht="14.25" x14ac:dyDescent="0.2">
      <c r="A5" s="28"/>
      <c r="B5" s="28"/>
      <c r="C5" s="28"/>
      <c r="D5" s="30"/>
      <c r="E5" s="28"/>
      <c r="F5" s="28"/>
      <c r="G5" s="28"/>
      <c r="H5" s="80"/>
    </row>
    <row r="6" spans="1:8" ht="14.25" x14ac:dyDescent="0.2">
      <c r="A6" s="28" t="s">
        <v>43</v>
      </c>
      <c r="B6" s="89">
        <v>11.3</v>
      </c>
      <c r="C6" s="89">
        <v>161</v>
      </c>
      <c r="D6" s="89">
        <v>23.3</v>
      </c>
      <c r="E6" s="89">
        <v>19.3</v>
      </c>
      <c r="F6" s="89">
        <v>22.5</v>
      </c>
      <c r="G6" s="89">
        <v>12.2</v>
      </c>
      <c r="H6" s="80"/>
    </row>
    <row r="7" spans="1:8" ht="14.25" x14ac:dyDescent="0.2">
      <c r="A7" s="28" t="s">
        <v>54</v>
      </c>
      <c r="B7" s="89">
        <v>12.5</v>
      </c>
      <c r="C7" s="89">
        <v>260</v>
      </c>
      <c r="D7" s="89">
        <v>29.1</v>
      </c>
      <c r="E7" s="89">
        <v>24</v>
      </c>
      <c r="F7" s="89">
        <v>31.8</v>
      </c>
      <c r="G7" s="89">
        <v>13.9</v>
      </c>
      <c r="H7" s="80"/>
    </row>
    <row r="8" spans="1:8" ht="14.25" x14ac:dyDescent="0.2">
      <c r="A8" s="28" t="s">
        <v>69</v>
      </c>
      <c r="B8" s="89">
        <v>14.4</v>
      </c>
      <c r="C8" s="89">
        <v>252</v>
      </c>
      <c r="D8" s="89">
        <v>25.4</v>
      </c>
      <c r="E8" s="89">
        <v>26.5</v>
      </c>
      <c r="F8" s="89">
        <v>30.1</v>
      </c>
      <c r="G8" s="89">
        <v>13.8</v>
      </c>
      <c r="H8" s="80"/>
    </row>
    <row r="9" spans="1:8" ht="14.25" x14ac:dyDescent="0.2">
      <c r="A9" s="28" t="s">
        <v>75</v>
      </c>
      <c r="B9" s="89">
        <v>13</v>
      </c>
      <c r="C9" s="89">
        <v>246</v>
      </c>
      <c r="D9" s="89">
        <v>21.4</v>
      </c>
      <c r="E9" s="89">
        <v>20.6</v>
      </c>
      <c r="F9" s="89">
        <v>24.9</v>
      </c>
      <c r="G9" s="89">
        <v>13.8</v>
      </c>
      <c r="H9" s="80"/>
    </row>
    <row r="10" spans="1:8" ht="14.25" x14ac:dyDescent="0.2">
      <c r="A10" s="28" t="s">
        <v>77</v>
      </c>
      <c r="B10" s="89">
        <v>10.1</v>
      </c>
      <c r="C10" s="89">
        <v>194</v>
      </c>
      <c r="D10" s="89">
        <v>21.7</v>
      </c>
      <c r="E10" s="89">
        <v>16.899999999999999</v>
      </c>
      <c r="F10" s="89">
        <v>22</v>
      </c>
      <c r="G10" s="89">
        <v>11.8</v>
      </c>
      <c r="H10" s="80"/>
    </row>
    <row r="11" spans="1:8" ht="14.25" x14ac:dyDescent="0.2">
      <c r="A11" s="28" t="s">
        <v>78</v>
      </c>
      <c r="B11" s="89">
        <v>8.9499999999999993</v>
      </c>
      <c r="C11" s="89">
        <v>227</v>
      </c>
      <c r="D11" s="89">
        <v>19.600000000000001</v>
      </c>
      <c r="E11" s="89">
        <v>15.6</v>
      </c>
      <c r="F11" s="89">
        <v>19.3</v>
      </c>
      <c r="G11" s="89">
        <v>8.9499999999999993</v>
      </c>
      <c r="H11" s="80"/>
    </row>
    <row r="12" spans="1:8" ht="14.25" x14ac:dyDescent="0.2">
      <c r="A12" s="28" t="s">
        <v>90</v>
      </c>
      <c r="B12" s="89">
        <v>9.4700000000000006</v>
      </c>
      <c r="C12" s="89">
        <v>195</v>
      </c>
      <c r="D12" s="89">
        <v>17.399999999999999</v>
      </c>
      <c r="E12" s="89">
        <v>16.600000000000001</v>
      </c>
      <c r="F12" s="89">
        <v>19.7</v>
      </c>
      <c r="G12" s="89">
        <v>8</v>
      </c>
      <c r="H12" s="80"/>
    </row>
    <row r="13" spans="1:8" ht="14.25" x14ac:dyDescent="0.2">
      <c r="A13" s="28" t="s">
        <v>91</v>
      </c>
      <c r="B13" s="89">
        <v>9.33</v>
      </c>
      <c r="C13" s="89">
        <v>142</v>
      </c>
      <c r="D13" s="89">
        <v>17.2</v>
      </c>
      <c r="E13" s="89">
        <v>17.5</v>
      </c>
      <c r="F13" s="89">
        <v>22.9</v>
      </c>
      <c r="G13" s="89">
        <v>9.5299999999999994</v>
      </c>
      <c r="H13" s="80"/>
    </row>
    <row r="14" spans="1:8" ht="14.25" x14ac:dyDescent="0.2">
      <c r="A14" s="28" t="s">
        <v>115</v>
      </c>
      <c r="B14" s="89">
        <v>8.48</v>
      </c>
      <c r="C14" s="89">
        <v>155</v>
      </c>
      <c r="D14" s="89">
        <v>17.399999999999999</v>
      </c>
      <c r="E14" s="89">
        <v>15.8</v>
      </c>
      <c r="F14" s="89">
        <v>21.5</v>
      </c>
      <c r="G14" s="89">
        <v>9.89</v>
      </c>
      <c r="H14" s="80"/>
    </row>
    <row r="15" spans="1:8" ht="14.25" x14ac:dyDescent="0.2">
      <c r="A15" s="28" t="s">
        <v>117</v>
      </c>
      <c r="B15" s="89">
        <v>8.57</v>
      </c>
      <c r="C15" s="89">
        <v>161</v>
      </c>
      <c r="D15" s="89">
        <v>19.5</v>
      </c>
      <c r="E15" s="89">
        <v>14.8</v>
      </c>
      <c r="F15" s="89">
        <v>20.5</v>
      </c>
      <c r="G15" s="89">
        <v>9.15</v>
      </c>
      <c r="H15" s="80"/>
    </row>
    <row r="16" spans="1:8" ht="16.5" x14ac:dyDescent="0.2">
      <c r="A16" s="28" t="s">
        <v>154</v>
      </c>
      <c r="B16" s="89">
        <v>10.9</v>
      </c>
      <c r="C16" s="89">
        <v>185</v>
      </c>
      <c r="D16" s="89">
        <v>21.05</v>
      </c>
      <c r="E16" s="89">
        <v>18.400000000000002</v>
      </c>
      <c r="F16" s="89">
        <v>21</v>
      </c>
      <c r="G16" s="89">
        <v>11.102000000000002</v>
      </c>
      <c r="H16" s="80"/>
    </row>
    <row r="17" spans="1:8" ht="16.5" x14ac:dyDescent="0.2">
      <c r="A17" s="28" t="s">
        <v>155</v>
      </c>
      <c r="B17" s="89">
        <v>12.9</v>
      </c>
      <c r="C17" s="89">
        <v>235</v>
      </c>
      <c r="D17" s="89">
        <v>26.25</v>
      </c>
      <c r="E17" s="89">
        <v>30</v>
      </c>
      <c r="F17" s="89">
        <v>21.5</v>
      </c>
      <c r="G17" s="89">
        <v>21.498400000000004</v>
      </c>
      <c r="H17" s="80"/>
    </row>
    <row r="18" spans="1:8" ht="14.25" x14ac:dyDescent="0.2">
      <c r="A18" s="32"/>
      <c r="B18" s="90"/>
      <c r="C18" s="91"/>
      <c r="D18" s="92"/>
      <c r="E18" s="92"/>
      <c r="F18" s="93"/>
      <c r="G18" s="94"/>
      <c r="H18" s="81"/>
    </row>
    <row r="19" spans="1:8" ht="15" x14ac:dyDescent="0.25">
      <c r="A19" s="95" t="s">
        <v>117</v>
      </c>
      <c r="B19" s="89"/>
      <c r="C19" s="89"/>
      <c r="D19" s="89"/>
      <c r="E19" s="89"/>
      <c r="F19" s="89"/>
      <c r="G19" s="89"/>
    </row>
    <row r="20" spans="1:8" ht="14.25" x14ac:dyDescent="0.2">
      <c r="A20" s="32" t="s">
        <v>58</v>
      </c>
      <c r="B20" s="89">
        <v>8.35</v>
      </c>
      <c r="C20" s="89">
        <v>148</v>
      </c>
      <c r="D20" s="89">
        <v>18.5</v>
      </c>
      <c r="E20" s="89">
        <v>14.2</v>
      </c>
      <c r="F20" s="89">
        <v>19.8</v>
      </c>
      <c r="G20" s="89">
        <v>8.84</v>
      </c>
    </row>
    <row r="21" spans="1:8" ht="14.25" x14ac:dyDescent="0.2">
      <c r="A21" s="32" t="s">
        <v>45</v>
      </c>
      <c r="B21" s="89">
        <v>8.6</v>
      </c>
      <c r="C21" s="89">
        <v>152</v>
      </c>
      <c r="D21" s="89">
        <v>17.5</v>
      </c>
      <c r="E21" s="89">
        <v>14.2</v>
      </c>
      <c r="F21" s="89">
        <v>20.399999999999999</v>
      </c>
      <c r="G21" s="89">
        <v>9.01</v>
      </c>
    </row>
    <row r="22" spans="1:8" ht="14.25" x14ac:dyDescent="0.2">
      <c r="A22" s="32" t="s">
        <v>46</v>
      </c>
      <c r="B22" s="89">
        <v>8.59</v>
      </c>
      <c r="C22" s="89">
        <v>162</v>
      </c>
      <c r="D22" s="89">
        <v>17.7</v>
      </c>
      <c r="E22" s="89">
        <v>14.3</v>
      </c>
      <c r="F22" s="89">
        <v>19.2</v>
      </c>
      <c r="G22" s="89">
        <v>8.6999999999999993</v>
      </c>
    </row>
    <row r="23" spans="1:8" ht="14.25" x14ac:dyDescent="0.2">
      <c r="A23" s="32" t="s">
        <v>47</v>
      </c>
      <c r="B23" s="89">
        <v>8.6999999999999993</v>
      </c>
      <c r="C23" s="89">
        <v>163</v>
      </c>
      <c r="D23" s="89">
        <v>17.8</v>
      </c>
      <c r="E23" s="89">
        <v>14.7</v>
      </c>
      <c r="F23" s="89">
        <v>19.600000000000001</v>
      </c>
      <c r="G23" s="89">
        <v>8.91</v>
      </c>
    </row>
    <row r="24" spans="1:8" ht="14.25" x14ac:dyDescent="0.2">
      <c r="A24" s="32" t="s">
        <v>48</v>
      </c>
      <c r="B24" s="89">
        <v>8.84</v>
      </c>
      <c r="C24" s="89">
        <v>161</v>
      </c>
      <c r="D24" s="89">
        <v>19.5</v>
      </c>
      <c r="E24" s="89">
        <v>16.100000000000001</v>
      </c>
      <c r="F24" s="89">
        <v>20.9</v>
      </c>
      <c r="G24" s="89">
        <v>8.9700000000000006</v>
      </c>
    </row>
    <row r="25" spans="1:8" ht="14.25" x14ac:dyDescent="0.2">
      <c r="A25" s="32" t="s">
        <v>49</v>
      </c>
      <c r="B25" s="89">
        <v>8.6</v>
      </c>
      <c r="C25" s="89">
        <v>190</v>
      </c>
      <c r="D25" s="89">
        <v>20.399999999999999</v>
      </c>
      <c r="E25" s="89">
        <v>16.100000000000001</v>
      </c>
      <c r="F25" s="89">
        <v>20.5</v>
      </c>
      <c r="G25" s="89">
        <v>10.4</v>
      </c>
    </row>
    <row r="26" spans="1:8" ht="14.25" x14ac:dyDescent="0.2">
      <c r="A26" s="32" t="s">
        <v>50</v>
      </c>
      <c r="B26" s="89">
        <v>8.4700000000000006</v>
      </c>
      <c r="C26" s="89" t="s">
        <v>10</v>
      </c>
      <c r="D26" s="89">
        <v>20.9</v>
      </c>
      <c r="E26" s="89">
        <v>15.7</v>
      </c>
      <c r="F26" s="89">
        <v>20.6</v>
      </c>
      <c r="G26" s="89">
        <v>10.7</v>
      </c>
    </row>
    <row r="27" spans="1:8" ht="14.25" x14ac:dyDescent="0.2">
      <c r="A27" s="32" t="s">
        <v>51</v>
      </c>
      <c r="B27" s="89">
        <v>8.35</v>
      </c>
      <c r="C27" s="89" t="s">
        <v>10</v>
      </c>
      <c r="D27" s="89">
        <v>20.3</v>
      </c>
      <c r="E27" s="89">
        <v>15.2</v>
      </c>
      <c r="F27" s="89">
        <v>20.6</v>
      </c>
      <c r="G27" s="89">
        <v>9.31</v>
      </c>
    </row>
    <row r="28" spans="1:8" ht="14.25" x14ac:dyDescent="0.2">
      <c r="A28" s="32" t="s">
        <v>52</v>
      </c>
      <c r="B28" s="89">
        <v>8.2799999999999994</v>
      </c>
      <c r="C28" s="89" t="s">
        <v>10</v>
      </c>
      <c r="D28" s="89">
        <v>20.5</v>
      </c>
      <c r="E28" s="89">
        <v>14.4</v>
      </c>
      <c r="F28" s="89">
        <v>21.1</v>
      </c>
      <c r="G28" s="89">
        <v>9.57</v>
      </c>
    </row>
    <row r="29" spans="1:8" ht="14.25" x14ac:dyDescent="0.2">
      <c r="A29" s="32" t="s">
        <v>53</v>
      </c>
      <c r="B29" s="89">
        <v>8.34</v>
      </c>
      <c r="C29" s="89" t="s">
        <v>10</v>
      </c>
      <c r="D29" s="89">
        <v>21.7</v>
      </c>
      <c r="E29" s="89">
        <v>15.2</v>
      </c>
      <c r="F29" s="89">
        <v>20.7</v>
      </c>
      <c r="G29" s="89">
        <v>10</v>
      </c>
    </row>
    <row r="30" spans="1:8" ht="14.25" x14ac:dyDescent="0.2">
      <c r="A30" s="32" t="s">
        <v>55</v>
      </c>
      <c r="B30" s="89">
        <v>8.5</v>
      </c>
      <c r="C30" s="89" t="s">
        <v>10</v>
      </c>
      <c r="D30" s="89">
        <v>23.7</v>
      </c>
      <c r="E30" s="89">
        <v>15.5</v>
      </c>
      <c r="F30" s="89">
        <v>20.7</v>
      </c>
      <c r="G30" s="89">
        <v>9.64</v>
      </c>
    </row>
    <row r="31" spans="1:8" ht="14.25" x14ac:dyDescent="0.2">
      <c r="A31" s="32" t="s">
        <v>56</v>
      </c>
      <c r="B31" s="89">
        <v>8.66</v>
      </c>
      <c r="C31" s="89">
        <v>155</v>
      </c>
      <c r="D31" s="89">
        <v>25.8</v>
      </c>
      <c r="E31" s="89">
        <v>15.1</v>
      </c>
      <c r="F31" s="89">
        <v>20.6</v>
      </c>
      <c r="G31" s="89">
        <v>8.56</v>
      </c>
    </row>
    <row r="32" spans="1:8" ht="14.25" x14ac:dyDescent="0.2">
      <c r="A32" s="32"/>
      <c r="B32" s="89"/>
      <c r="C32" s="89"/>
      <c r="D32" s="89"/>
      <c r="E32" s="89"/>
      <c r="F32" s="89"/>
      <c r="G32" s="89"/>
    </row>
    <row r="33" spans="1:7" ht="15" x14ac:dyDescent="0.25">
      <c r="A33" s="95" t="s">
        <v>125</v>
      </c>
      <c r="B33" s="89"/>
      <c r="C33" s="89"/>
      <c r="D33" s="89"/>
      <c r="E33" s="89"/>
      <c r="F33" s="89"/>
      <c r="G33" s="89"/>
    </row>
    <row r="34" spans="1:7" ht="14.25" x14ac:dyDescent="0.2">
      <c r="A34" s="32" t="s">
        <v>58</v>
      </c>
      <c r="B34" s="89">
        <v>9.24</v>
      </c>
      <c r="C34" s="89">
        <v>160</v>
      </c>
      <c r="D34" s="89">
        <v>23.7</v>
      </c>
      <c r="E34" s="89">
        <v>16.399999999999999</v>
      </c>
      <c r="F34" s="89">
        <v>20.5</v>
      </c>
      <c r="G34" s="89">
        <v>9.64</v>
      </c>
    </row>
    <row r="35" spans="1:7" ht="14.25" x14ac:dyDescent="0.2">
      <c r="A35" s="32" t="s">
        <v>45</v>
      </c>
      <c r="B35" s="89">
        <v>9.6300000000000008</v>
      </c>
      <c r="C35" s="89">
        <v>189</v>
      </c>
      <c r="D35" s="89">
        <v>19.100000000000001</v>
      </c>
      <c r="E35" s="89">
        <v>16.2</v>
      </c>
      <c r="F35" s="89">
        <v>20.9</v>
      </c>
      <c r="G35" s="89">
        <v>9.76</v>
      </c>
    </row>
    <row r="36" spans="1:7" ht="14.25" x14ac:dyDescent="0.2">
      <c r="A36" s="32" t="s">
        <v>46</v>
      </c>
      <c r="B36" s="89">
        <v>10.3</v>
      </c>
      <c r="C36" s="89">
        <v>199</v>
      </c>
      <c r="D36" s="89">
        <v>18.899999999999999</v>
      </c>
      <c r="E36" s="89">
        <v>18.100000000000001</v>
      </c>
      <c r="F36" s="89">
        <v>21.2</v>
      </c>
      <c r="G36" s="89">
        <v>10.7</v>
      </c>
    </row>
    <row r="37" spans="1:7" ht="14.25" x14ac:dyDescent="0.2">
      <c r="A37" s="32" t="s">
        <v>47</v>
      </c>
      <c r="B37" s="89">
        <v>10.5</v>
      </c>
      <c r="C37" s="89">
        <v>195</v>
      </c>
      <c r="D37" s="89">
        <v>19.2</v>
      </c>
      <c r="E37" s="89">
        <v>17.2</v>
      </c>
      <c r="F37" s="89">
        <v>20.399999999999999</v>
      </c>
      <c r="G37" s="89">
        <v>10.9</v>
      </c>
    </row>
    <row r="38" spans="1:7" ht="14.25" x14ac:dyDescent="0.2">
      <c r="A38" s="32" t="s">
        <v>48</v>
      </c>
      <c r="B38" s="89">
        <v>10.9</v>
      </c>
      <c r="C38" s="89">
        <v>209</v>
      </c>
      <c r="D38" s="89">
        <v>19.600000000000001</v>
      </c>
      <c r="E38" s="89">
        <v>18.8</v>
      </c>
      <c r="F38" s="89">
        <v>20.5</v>
      </c>
      <c r="G38" s="89">
        <v>12</v>
      </c>
    </row>
    <row r="39" spans="1:7" ht="14.25" x14ac:dyDescent="0.2">
      <c r="A39" s="32" t="s">
        <v>49</v>
      </c>
      <c r="B39" s="89">
        <v>12.7</v>
      </c>
      <c r="C39" s="89">
        <v>186</v>
      </c>
      <c r="D39" s="89">
        <v>21.4</v>
      </c>
      <c r="E39" s="89">
        <v>20.399999999999999</v>
      </c>
      <c r="F39" s="89">
        <v>20.5</v>
      </c>
      <c r="G39" s="89">
        <v>13.2</v>
      </c>
    </row>
    <row r="40" spans="1:7" ht="14.25" x14ac:dyDescent="0.2">
      <c r="A40" s="32" t="s">
        <v>50</v>
      </c>
      <c r="B40" s="89">
        <v>13.2</v>
      </c>
      <c r="C40" s="89" t="s">
        <v>10</v>
      </c>
      <c r="D40" s="89">
        <v>21.6</v>
      </c>
      <c r="E40" s="89">
        <v>22</v>
      </c>
      <c r="F40" s="89">
        <v>21.2</v>
      </c>
      <c r="G40" s="89">
        <v>15.7</v>
      </c>
    </row>
    <row r="41" spans="1:7" ht="14.25" x14ac:dyDescent="0.2">
      <c r="A41" s="32" t="s">
        <v>51</v>
      </c>
      <c r="B41" s="89">
        <v>13.9</v>
      </c>
      <c r="C41" s="89" t="s">
        <v>10</v>
      </c>
      <c r="D41" s="89">
        <v>23.7</v>
      </c>
      <c r="E41" s="89">
        <v>23.8</v>
      </c>
      <c r="F41" s="89">
        <v>21.4</v>
      </c>
      <c r="G41" s="89">
        <v>18.100000000000001</v>
      </c>
    </row>
    <row r="42" spans="1:7" ht="14.25" x14ac:dyDescent="0.2">
      <c r="A42" s="32" t="s">
        <v>52</v>
      </c>
      <c r="B42" s="89">
        <v>14.8</v>
      </c>
      <c r="C42" s="89" t="s">
        <v>10</v>
      </c>
      <c r="D42" s="89">
        <v>26.4</v>
      </c>
      <c r="E42" s="89">
        <v>26.1</v>
      </c>
      <c r="F42" s="89">
        <v>21.3</v>
      </c>
      <c r="G42" s="89">
        <v>18.3</v>
      </c>
    </row>
    <row r="43" spans="1:7" ht="14.25" x14ac:dyDescent="0.2">
      <c r="A43" s="32" t="s">
        <v>53</v>
      </c>
      <c r="B43" s="89">
        <v>14.5</v>
      </c>
      <c r="C43" s="89" t="s">
        <v>10</v>
      </c>
      <c r="D43" s="89">
        <v>28.4</v>
      </c>
      <c r="E43" s="89">
        <v>26</v>
      </c>
      <c r="F43" s="89">
        <v>21.3</v>
      </c>
      <c r="G43" s="89">
        <v>19.899999999999999</v>
      </c>
    </row>
    <row r="44" spans="1:7" ht="14.25" x14ac:dyDescent="0.2">
      <c r="A44" s="26" t="s">
        <v>55</v>
      </c>
      <c r="B44" s="24">
        <v>14.1</v>
      </c>
      <c r="C44" s="24" t="s">
        <v>10</v>
      </c>
      <c r="D44" s="24">
        <v>28</v>
      </c>
      <c r="E44" s="24">
        <v>27.7</v>
      </c>
      <c r="F44" s="24">
        <v>21.6</v>
      </c>
      <c r="G44" s="24">
        <v>20.100000000000001</v>
      </c>
    </row>
    <row r="45" spans="1:7" ht="16.5" x14ac:dyDescent="0.2">
      <c r="A45" s="28" t="s">
        <v>165</v>
      </c>
      <c r="B45" s="28"/>
      <c r="C45" s="28"/>
      <c r="D45" s="28"/>
      <c r="E45" s="28"/>
      <c r="F45" s="28"/>
      <c r="G45" s="28"/>
    </row>
    <row r="46" spans="1:7" ht="14.25" x14ac:dyDescent="0.2">
      <c r="A46" s="28" t="s">
        <v>44</v>
      </c>
      <c r="B46" s="96"/>
      <c r="C46" s="96"/>
      <c r="D46" s="96"/>
      <c r="E46" s="96"/>
      <c r="F46" s="96"/>
      <c r="G46" s="96"/>
    </row>
    <row r="47" spans="1:7" ht="14.25" x14ac:dyDescent="0.2">
      <c r="A47" s="28" t="s">
        <v>102</v>
      </c>
      <c r="B47" s="28"/>
      <c r="C47" s="28"/>
      <c r="D47" s="28"/>
      <c r="E47" s="28"/>
      <c r="F47" s="28"/>
      <c r="G47" s="28"/>
    </row>
    <row r="48" spans="1:7" ht="14.25" x14ac:dyDescent="0.2">
      <c r="A48" s="34" t="s">
        <v>18</v>
      </c>
      <c r="B48" s="68">
        <f ca="1">NOW()</f>
        <v>44452.456168402779</v>
      </c>
      <c r="C48" s="28"/>
      <c r="D48" s="28"/>
      <c r="E48" s="28"/>
      <c r="F48" s="28"/>
      <c r="G48" s="28"/>
    </row>
  </sheetData>
  <phoneticPr fontId="10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T68"/>
  <sheetViews>
    <sheetView showGridLines="0" zoomScale="70" zoomScaleNormal="70" workbookViewId="0"/>
  </sheetViews>
  <sheetFormatPr defaultRowHeight="12.75" x14ac:dyDescent="0.2"/>
  <cols>
    <col min="1" max="2" width="11.7109375" style="27" customWidth="1"/>
    <col min="3" max="3" width="11.5703125" style="27" customWidth="1"/>
    <col min="4" max="4" width="13.7109375" style="27" customWidth="1"/>
    <col min="5" max="5" width="10.5703125" style="27" customWidth="1"/>
    <col min="6" max="6" width="11.5703125" style="27" bestFit="1" customWidth="1"/>
    <col min="7" max="7" width="10.7109375" style="27" customWidth="1"/>
    <col min="8" max="9" width="10.5703125" style="27" customWidth="1"/>
    <col min="10" max="11" width="9.140625" style="27"/>
    <col min="12" max="12" width="22.28515625" style="27" bestFit="1" customWidth="1"/>
    <col min="13" max="13" width="20.28515625" style="27" bestFit="1" customWidth="1"/>
    <col min="14" max="16384" width="9.140625" style="27"/>
  </cols>
  <sheetData>
    <row r="1" spans="1:9" ht="14.25" x14ac:dyDescent="0.2">
      <c r="A1" s="26" t="s">
        <v>143</v>
      </c>
      <c r="B1" s="26"/>
      <c r="C1" s="26"/>
      <c r="D1" s="26"/>
      <c r="E1" s="26"/>
      <c r="F1" s="26"/>
      <c r="G1" s="26"/>
      <c r="H1" s="26"/>
      <c r="I1" s="28"/>
    </row>
    <row r="2" spans="1:9" ht="15.6" customHeight="1" x14ac:dyDescent="0.2">
      <c r="A2" s="97" t="s">
        <v>11</v>
      </c>
      <c r="B2" s="49" t="s">
        <v>35</v>
      </c>
      <c r="C2" s="49" t="s">
        <v>13</v>
      </c>
      <c r="D2" s="49" t="s">
        <v>68</v>
      </c>
      <c r="E2" s="98" t="s">
        <v>41</v>
      </c>
      <c r="F2" s="98" t="s">
        <v>36</v>
      </c>
      <c r="G2" s="49" t="s">
        <v>40</v>
      </c>
      <c r="H2" s="49" t="s">
        <v>103</v>
      </c>
      <c r="I2" s="99" t="s">
        <v>39</v>
      </c>
    </row>
    <row r="3" spans="1:9" ht="15.6" customHeight="1" x14ac:dyDescent="0.2">
      <c r="A3" s="100" t="s">
        <v>12</v>
      </c>
      <c r="B3" s="37" t="s">
        <v>104</v>
      </c>
      <c r="C3" s="37" t="s">
        <v>105</v>
      </c>
      <c r="D3" s="37" t="s">
        <v>106</v>
      </c>
      <c r="E3" s="37" t="s">
        <v>106</v>
      </c>
      <c r="F3" s="37" t="s">
        <v>107</v>
      </c>
      <c r="G3" s="37" t="s">
        <v>106</v>
      </c>
      <c r="H3" s="37"/>
      <c r="I3" s="37" t="s">
        <v>108</v>
      </c>
    </row>
    <row r="4" spans="1:9" ht="14.25" x14ac:dyDescent="0.2">
      <c r="A4" s="28"/>
      <c r="B4" s="101" t="s">
        <v>134</v>
      </c>
      <c r="C4" s="102"/>
      <c r="D4" s="102"/>
      <c r="E4" s="102"/>
      <c r="F4" s="102"/>
      <c r="G4" s="102"/>
      <c r="H4" s="102"/>
      <c r="I4" s="102"/>
    </row>
    <row r="5" spans="1:9" ht="14.25" x14ac:dyDescent="0.2">
      <c r="A5" s="28"/>
      <c r="B5" s="28"/>
      <c r="C5" s="28"/>
      <c r="D5" s="28"/>
      <c r="E5" s="28"/>
      <c r="F5" s="28"/>
      <c r="G5" s="28"/>
      <c r="H5" s="28"/>
      <c r="I5" s="28"/>
    </row>
    <row r="6" spans="1:9" ht="14.25" x14ac:dyDescent="0.2">
      <c r="A6" s="28" t="s">
        <v>43</v>
      </c>
      <c r="B6" s="89">
        <v>53.2</v>
      </c>
      <c r="C6" s="89">
        <v>54.5</v>
      </c>
      <c r="D6" s="89">
        <v>86.12</v>
      </c>
      <c r="E6" s="89">
        <v>58.68</v>
      </c>
      <c r="F6" s="89">
        <v>77.239999999999995</v>
      </c>
      <c r="G6" s="89">
        <v>60.76</v>
      </c>
      <c r="H6" s="89">
        <v>51.52</v>
      </c>
      <c r="I6" s="89">
        <v>51.34</v>
      </c>
    </row>
    <row r="7" spans="1:9" ht="14.25" x14ac:dyDescent="0.2">
      <c r="A7" s="28" t="s">
        <v>54</v>
      </c>
      <c r="B7" s="89">
        <v>51.9</v>
      </c>
      <c r="C7" s="89">
        <v>53.22</v>
      </c>
      <c r="D7" s="89">
        <v>83.2</v>
      </c>
      <c r="E7" s="89">
        <v>57.19</v>
      </c>
      <c r="F7" s="89">
        <v>100.15</v>
      </c>
      <c r="G7" s="89">
        <v>56.09</v>
      </c>
      <c r="H7" s="89">
        <v>48.11</v>
      </c>
      <c r="I7" s="89">
        <v>50.33</v>
      </c>
    </row>
    <row r="8" spans="1:9" ht="14.25" x14ac:dyDescent="0.2">
      <c r="A8" s="28" t="s">
        <v>69</v>
      </c>
      <c r="B8" s="89">
        <v>47.13</v>
      </c>
      <c r="C8" s="89">
        <v>48.6</v>
      </c>
      <c r="D8" s="89">
        <v>65.87</v>
      </c>
      <c r="E8" s="89">
        <v>56.17</v>
      </c>
      <c r="F8" s="89">
        <v>91.83</v>
      </c>
      <c r="G8" s="89">
        <v>46.66</v>
      </c>
      <c r="H8" s="89">
        <v>51.8</v>
      </c>
      <c r="I8" s="89">
        <v>43.24</v>
      </c>
    </row>
    <row r="9" spans="1:9" ht="14.25" x14ac:dyDescent="0.2">
      <c r="A9" s="28" t="s">
        <v>75</v>
      </c>
      <c r="B9" s="89">
        <v>38.229999999999997</v>
      </c>
      <c r="C9" s="89">
        <v>60.66</v>
      </c>
      <c r="D9" s="89">
        <v>59.12</v>
      </c>
      <c r="E9" s="89">
        <v>43.7</v>
      </c>
      <c r="F9" s="89">
        <v>68.23</v>
      </c>
      <c r="G9" s="89">
        <v>39.43</v>
      </c>
      <c r="H9" s="89">
        <v>43.93</v>
      </c>
      <c r="I9" s="89">
        <v>39.76</v>
      </c>
    </row>
    <row r="10" spans="1:9" ht="14.25" x14ac:dyDescent="0.2">
      <c r="A10" s="28" t="s">
        <v>77</v>
      </c>
      <c r="B10" s="89">
        <v>31.6</v>
      </c>
      <c r="C10" s="89">
        <v>45.74</v>
      </c>
      <c r="D10" s="89">
        <v>66.72</v>
      </c>
      <c r="E10" s="89">
        <v>37.81</v>
      </c>
      <c r="F10" s="89">
        <v>57.96</v>
      </c>
      <c r="G10" s="89">
        <v>37.479999999999997</v>
      </c>
      <c r="H10" s="89">
        <v>33.43</v>
      </c>
      <c r="I10" s="89">
        <v>31.36</v>
      </c>
    </row>
    <row r="11" spans="1:9" ht="14.25" x14ac:dyDescent="0.2">
      <c r="A11" s="28" t="s">
        <v>78</v>
      </c>
      <c r="B11" s="89">
        <v>29.86</v>
      </c>
      <c r="C11" s="89">
        <v>45.87</v>
      </c>
      <c r="D11" s="89">
        <v>57.81</v>
      </c>
      <c r="E11" s="89">
        <v>35.270000000000003</v>
      </c>
      <c r="F11" s="89">
        <v>58.26</v>
      </c>
      <c r="G11" s="89">
        <v>39.25</v>
      </c>
      <c r="H11" s="89">
        <v>32.229999999999997</v>
      </c>
      <c r="I11" s="89">
        <v>30.07</v>
      </c>
    </row>
    <row r="12" spans="1:9" ht="14.25" x14ac:dyDescent="0.2">
      <c r="A12" s="28" t="s">
        <v>90</v>
      </c>
      <c r="B12" s="89">
        <v>32.549999999999997</v>
      </c>
      <c r="C12" s="89">
        <v>40.92</v>
      </c>
      <c r="D12" s="89">
        <v>53.54</v>
      </c>
      <c r="E12" s="89">
        <v>38.729999999999997</v>
      </c>
      <c r="F12" s="89">
        <v>66.73</v>
      </c>
      <c r="G12" s="89">
        <v>37.43</v>
      </c>
      <c r="H12" s="89">
        <v>33.07</v>
      </c>
      <c r="I12" s="89">
        <v>34.75</v>
      </c>
    </row>
    <row r="13" spans="1:9" ht="14.25" x14ac:dyDescent="0.2">
      <c r="A13" s="28" t="s">
        <v>91</v>
      </c>
      <c r="B13" s="89">
        <v>30.04</v>
      </c>
      <c r="C13" s="89">
        <v>31.87</v>
      </c>
      <c r="D13" s="89">
        <v>54.57</v>
      </c>
      <c r="E13" s="89">
        <v>38.270000000000003</v>
      </c>
      <c r="F13" s="89">
        <v>66.72</v>
      </c>
      <c r="G13" s="89">
        <v>30.35</v>
      </c>
      <c r="H13" s="89">
        <v>34.159999999999997</v>
      </c>
      <c r="I13" s="89">
        <v>31.21</v>
      </c>
    </row>
    <row r="14" spans="1:9" ht="14.25" x14ac:dyDescent="0.2">
      <c r="A14" s="28" t="s">
        <v>115</v>
      </c>
      <c r="B14" s="89">
        <v>28.26</v>
      </c>
      <c r="C14" s="89">
        <v>35.14</v>
      </c>
      <c r="D14" s="89">
        <v>53.28</v>
      </c>
      <c r="E14" s="89">
        <v>36.090000000000003</v>
      </c>
      <c r="F14" s="89">
        <v>64.72</v>
      </c>
      <c r="G14" s="89">
        <v>26.93</v>
      </c>
      <c r="H14" s="89">
        <v>31.65</v>
      </c>
      <c r="I14" s="89">
        <v>33.11</v>
      </c>
    </row>
    <row r="15" spans="1:9" ht="14.25" x14ac:dyDescent="0.2">
      <c r="A15" s="28" t="s">
        <v>117</v>
      </c>
      <c r="B15" s="89">
        <v>29.67</v>
      </c>
      <c r="C15" s="89">
        <v>40.18</v>
      </c>
      <c r="D15" s="89">
        <v>65.03</v>
      </c>
      <c r="E15" s="89">
        <v>37.869999999999997</v>
      </c>
      <c r="F15" s="89">
        <v>62</v>
      </c>
      <c r="G15" s="89">
        <v>39.47</v>
      </c>
      <c r="H15" s="89">
        <v>35.75</v>
      </c>
      <c r="I15" s="89">
        <v>38.369999999999997</v>
      </c>
    </row>
    <row r="16" spans="1:9" ht="16.5" x14ac:dyDescent="0.2">
      <c r="A16" s="28" t="s">
        <v>120</v>
      </c>
      <c r="B16" s="89">
        <v>57.250000000000014</v>
      </c>
      <c r="C16" s="89">
        <v>80</v>
      </c>
      <c r="D16" s="89">
        <v>79.000000000000014</v>
      </c>
      <c r="E16" s="89">
        <v>71</v>
      </c>
      <c r="F16" s="89">
        <v>107.25000000000001</v>
      </c>
      <c r="G16" s="89">
        <v>44</v>
      </c>
      <c r="H16" s="89">
        <v>43.5</v>
      </c>
      <c r="I16" s="89">
        <v>39</v>
      </c>
    </row>
    <row r="17" spans="1:20" ht="16.5" x14ac:dyDescent="0.2">
      <c r="A17" s="28" t="s">
        <v>152</v>
      </c>
      <c r="B17" s="89">
        <v>65</v>
      </c>
      <c r="C17" s="89">
        <v>80</v>
      </c>
      <c r="D17" s="89">
        <v>80</v>
      </c>
      <c r="E17" s="89">
        <v>75</v>
      </c>
      <c r="F17" s="89">
        <v>120</v>
      </c>
      <c r="G17" s="89">
        <v>78</v>
      </c>
      <c r="H17" s="89">
        <v>56</v>
      </c>
      <c r="I17" s="89">
        <v>58</v>
      </c>
    </row>
    <row r="18" spans="1:20" ht="14.25" x14ac:dyDescent="0.2">
      <c r="A18" s="28"/>
      <c r="B18" s="47"/>
      <c r="C18" s="91"/>
      <c r="D18" s="103"/>
      <c r="E18" s="103"/>
      <c r="F18" s="103"/>
      <c r="G18" s="103"/>
      <c r="H18" s="28"/>
      <c r="I18" s="28"/>
    </row>
    <row r="19" spans="1:20" ht="15" x14ac:dyDescent="0.25">
      <c r="A19" s="50" t="s">
        <v>117</v>
      </c>
      <c r="B19" s="89"/>
      <c r="C19" s="89"/>
      <c r="D19" s="89"/>
      <c r="E19" s="89"/>
      <c r="F19" s="89"/>
      <c r="G19" s="89"/>
      <c r="H19" s="89"/>
      <c r="I19" s="89"/>
    </row>
    <row r="20" spans="1:20" ht="14.25" x14ac:dyDescent="0.2">
      <c r="A20" s="32" t="s">
        <v>45</v>
      </c>
      <c r="B20" s="89">
        <v>30.14</v>
      </c>
      <c r="C20" s="89">
        <v>37.94</v>
      </c>
      <c r="D20" s="89">
        <v>56</v>
      </c>
      <c r="E20" s="89">
        <v>36.31</v>
      </c>
      <c r="F20" s="89">
        <v>61.5</v>
      </c>
      <c r="G20" s="89">
        <v>28.3</v>
      </c>
      <c r="H20" s="89" t="s">
        <v>10</v>
      </c>
      <c r="I20" s="89" t="s">
        <v>10</v>
      </c>
    </row>
    <row r="21" spans="1:20" ht="14.25" x14ac:dyDescent="0.2">
      <c r="A21" s="32" t="s">
        <v>46</v>
      </c>
      <c r="B21" s="89">
        <v>30.62</v>
      </c>
      <c r="C21" s="89">
        <v>38.4</v>
      </c>
      <c r="D21" s="89">
        <v>56</v>
      </c>
      <c r="E21" s="89">
        <v>36.15</v>
      </c>
      <c r="F21" s="89">
        <v>63.1</v>
      </c>
      <c r="G21" s="89">
        <v>30.36</v>
      </c>
      <c r="H21" s="89" t="s">
        <v>10</v>
      </c>
      <c r="I21" s="89">
        <v>35</v>
      </c>
    </row>
    <row r="22" spans="1:20" ht="14.25" x14ac:dyDescent="0.2">
      <c r="A22" s="32" t="s">
        <v>47</v>
      </c>
      <c r="B22" s="89">
        <v>32.270000000000003</v>
      </c>
      <c r="C22" s="89">
        <v>40.25</v>
      </c>
      <c r="D22" s="89">
        <v>76</v>
      </c>
      <c r="E22" s="89">
        <v>38.06</v>
      </c>
      <c r="F22" s="89">
        <v>60.13</v>
      </c>
      <c r="G22" s="89">
        <v>31.25</v>
      </c>
      <c r="H22" s="89" t="s">
        <v>10</v>
      </c>
      <c r="I22" s="89" t="s">
        <v>10</v>
      </c>
    </row>
    <row r="23" spans="1:20" ht="14.25" x14ac:dyDescent="0.2">
      <c r="A23" s="32" t="s">
        <v>48</v>
      </c>
      <c r="B23" s="89">
        <v>33.04</v>
      </c>
      <c r="C23" s="89">
        <v>40.1</v>
      </c>
      <c r="D23" s="89">
        <v>70</v>
      </c>
      <c r="E23" s="89">
        <v>37.9</v>
      </c>
      <c r="F23" s="89">
        <v>59</v>
      </c>
      <c r="G23" s="89">
        <v>33.299999999999997</v>
      </c>
      <c r="H23" s="89" t="s">
        <v>10</v>
      </c>
      <c r="I23" s="89">
        <v>36.14</v>
      </c>
    </row>
    <row r="24" spans="1:20" ht="14.25" x14ac:dyDescent="0.2">
      <c r="A24" s="32" t="s">
        <v>49</v>
      </c>
      <c r="B24" s="89">
        <v>30.26</v>
      </c>
      <c r="C24" s="89">
        <v>38.5</v>
      </c>
      <c r="D24" s="89">
        <v>70</v>
      </c>
      <c r="E24" s="89">
        <v>35.5</v>
      </c>
      <c r="F24" s="89">
        <v>59</v>
      </c>
      <c r="G24" s="89">
        <v>36</v>
      </c>
      <c r="H24" s="89" t="s">
        <v>10</v>
      </c>
      <c r="I24" s="89">
        <v>38.21</v>
      </c>
    </row>
    <row r="25" spans="1:20" ht="14.25" x14ac:dyDescent="0.2">
      <c r="A25" s="32" t="s">
        <v>50</v>
      </c>
      <c r="B25" s="89">
        <v>27.04</v>
      </c>
      <c r="C25" s="89">
        <v>36.19</v>
      </c>
      <c r="D25" s="89">
        <v>76</v>
      </c>
      <c r="E25" s="89">
        <v>32.880000000000003</v>
      </c>
      <c r="F25" s="89">
        <v>59.75</v>
      </c>
      <c r="G25" s="89">
        <v>36.94</v>
      </c>
      <c r="H25" s="89" t="s">
        <v>10</v>
      </c>
      <c r="I25" s="89">
        <v>35.5</v>
      </c>
      <c r="N25" s="104"/>
      <c r="O25" s="104"/>
      <c r="P25" s="104"/>
      <c r="Q25" s="104"/>
      <c r="R25" s="104"/>
      <c r="S25" s="104"/>
      <c r="T25" s="104"/>
    </row>
    <row r="26" spans="1:20" ht="14.25" x14ac:dyDescent="0.2">
      <c r="A26" s="32" t="s">
        <v>51</v>
      </c>
      <c r="B26" s="89">
        <v>25.69</v>
      </c>
      <c r="C26" s="89">
        <v>37.31</v>
      </c>
      <c r="D26" s="89">
        <v>76</v>
      </c>
      <c r="E26" s="89">
        <v>32.380000000000003</v>
      </c>
      <c r="F26" s="89">
        <v>59.5</v>
      </c>
      <c r="G26" s="89">
        <v>44.88</v>
      </c>
      <c r="H26" s="89">
        <v>32</v>
      </c>
      <c r="I26" s="89">
        <v>37.18</v>
      </c>
    </row>
    <row r="27" spans="1:20" ht="14.25" x14ac:dyDescent="0.2">
      <c r="A27" s="32" t="s">
        <v>52</v>
      </c>
      <c r="B27" s="89">
        <v>25.27</v>
      </c>
      <c r="C27" s="89">
        <v>37.200000000000003</v>
      </c>
      <c r="D27" s="89">
        <v>74</v>
      </c>
      <c r="E27" s="89">
        <v>32.4</v>
      </c>
      <c r="F27" s="89">
        <v>62.1</v>
      </c>
      <c r="G27" s="89">
        <v>47.64</v>
      </c>
      <c r="H27" s="89">
        <v>35.5</v>
      </c>
      <c r="I27" s="89">
        <v>43.95</v>
      </c>
    </row>
    <row r="28" spans="1:20" ht="14.25" x14ac:dyDescent="0.2">
      <c r="A28" s="32" t="s">
        <v>53</v>
      </c>
      <c r="B28" s="89">
        <v>26.61</v>
      </c>
      <c r="C28" s="89">
        <v>36.75</v>
      </c>
      <c r="D28" s="89">
        <v>56</v>
      </c>
      <c r="E28" s="89">
        <v>36.630000000000003</v>
      </c>
      <c r="F28" s="89">
        <v>84.75</v>
      </c>
      <c r="G28" s="89">
        <v>51.34</v>
      </c>
      <c r="H28" s="89">
        <v>36.5</v>
      </c>
      <c r="I28" s="89">
        <v>41.92</v>
      </c>
    </row>
    <row r="29" spans="1:20" ht="14.25" x14ac:dyDescent="0.2">
      <c r="A29" s="32" t="s">
        <v>55</v>
      </c>
      <c r="B29" s="89">
        <v>28.71</v>
      </c>
      <c r="C29" s="89">
        <v>43</v>
      </c>
      <c r="D29" s="89">
        <v>56.4</v>
      </c>
      <c r="E29" s="89">
        <v>40.5</v>
      </c>
      <c r="F29" s="89">
        <v>85</v>
      </c>
      <c r="G29" s="89">
        <v>45.45</v>
      </c>
      <c r="H29" s="89" t="s">
        <v>10</v>
      </c>
      <c r="I29" s="89">
        <v>39.43</v>
      </c>
    </row>
    <row r="30" spans="1:20" ht="14.25" x14ac:dyDescent="0.2">
      <c r="A30" s="32" t="s">
        <v>56</v>
      </c>
      <c r="B30" s="89">
        <v>32.130000000000003</v>
      </c>
      <c r="C30" s="89">
        <v>46.81</v>
      </c>
      <c r="D30" s="89">
        <v>57</v>
      </c>
      <c r="E30" s="89">
        <v>47.81</v>
      </c>
      <c r="F30" s="89">
        <v>90</v>
      </c>
      <c r="G30" s="89">
        <v>44.75</v>
      </c>
      <c r="H30" s="89">
        <v>39</v>
      </c>
      <c r="I30" s="89">
        <v>39.33</v>
      </c>
    </row>
    <row r="31" spans="1:20" ht="14.25" x14ac:dyDescent="0.2">
      <c r="A31" s="32" t="s">
        <v>58</v>
      </c>
      <c r="B31" s="89">
        <v>34.200000000000003</v>
      </c>
      <c r="C31" s="89">
        <v>49.69</v>
      </c>
      <c r="D31" s="89">
        <v>57</v>
      </c>
      <c r="E31" s="89">
        <v>47.94</v>
      </c>
      <c r="F31" s="89">
        <v>90</v>
      </c>
      <c r="G31" s="89">
        <v>43.38</v>
      </c>
      <c r="H31" s="89" t="s">
        <v>10</v>
      </c>
      <c r="I31" s="89">
        <v>37</v>
      </c>
    </row>
    <row r="32" spans="1:20" ht="14.25" x14ac:dyDescent="0.2">
      <c r="A32" s="32"/>
      <c r="B32" s="89"/>
      <c r="C32" s="89"/>
      <c r="D32" s="89"/>
      <c r="E32" s="89"/>
      <c r="F32" s="89"/>
      <c r="G32" s="89"/>
      <c r="H32" s="89"/>
      <c r="I32" s="89"/>
    </row>
    <row r="33" spans="1:10" ht="15" x14ac:dyDescent="0.25">
      <c r="A33" s="50" t="s">
        <v>125</v>
      </c>
      <c r="B33" s="89"/>
      <c r="C33" s="89"/>
      <c r="D33" s="89"/>
      <c r="E33" s="89"/>
      <c r="F33" s="89"/>
      <c r="G33" s="89"/>
      <c r="H33" s="89"/>
      <c r="I33" s="89"/>
    </row>
    <row r="34" spans="1:10" ht="14.25" x14ac:dyDescent="0.2">
      <c r="A34" s="32" t="s">
        <v>45</v>
      </c>
      <c r="B34" s="89">
        <v>33.909999999999997</v>
      </c>
      <c r="C34" s="89">
        <v>48.35</v>
      </c>
      <c r="D34" s="89">
        <v>57</v>
      </c>
      <c r="E34" s="89">
        <v>44.35</v>
      </c>
      <c r="F34" s="89">
        <v>93</v>
      </c>
      <c r="G34" s="89">
        <v>42.4375</v>
      </c>
      <c r="H34" s="89" t="s">
        <v>10</v>
      </c>
      <c r="I34" s="89">
        <v>34.5</v>
      </c>
    </row>
    <row r="35" spans="1:10" ht="14.25" x14ac:dyDescent="0.2">
      <c r="A35" s="32" t="s">
        <v>46</v>
      </c>
      <c r="B35" s="89">
        <v>37.79</v>
      </c>
      <c r="C35" s="89">
        <v>54.4375</v>
      </c>
      <c r="D35" s="89" t="s">
        <v>10</v>
      </c>
      <c r="E35" s="89">
        <v>49.5</v>
      </c>
      <c r="F35" s="89">
        <v>98.75</v>
      </c>
      <c r="G35" s="89">
        <v>42.524999999999999</v>
      </c>
      <c r="H35" s="89">
        <v>41</v>
      </c>
      <c r="I35" s="89">
        <v>34</v>
      </c>
    </row>
    <row r="36" spans="1:10" ht="14.25" x14ac:dyDescent="0.2">
      <c r="A36" s="32" t="s">
        <v>47</v>
      </c>
      <c r="B36" s="89">
        <v>40.85</v>
      </c>
      <c r="C36" s="89">
        <v>59.2</v>
      </c>
      <c r="D36" s="89" t="s">
        <v>10</v>
      </c>
      <c r="E36" s="89">
        <v>51.65</v>
      </c>
      <c r="F36" s="89">
        <v>100</v>
      </c>
      <c r="G36" s="89">
        <v>41.725000000000001</v>
      </c>
      <c r="H36" s="89" t="s">
        <v>10</v>
      </c>
      <c r="I36" s="89">
        <v>36.25</v>
      </c>
    </row>
    <row r="37" spans="1:10" ht="14.25" x14ac:dyDescent="0.2">
      <c r="A37" s="32" t="s">
        <v>48</v>
      </c>
      <c r="B37" s="89">
        <v>44.31</v>
      </c>
      <c r="C37" s="89">
        <v>63.1875</v>
      </c>
      <c r="D37" s="89" t="s">
        <v>10</v>
      </c>
      <c r="E37" s="89">
        <v>53.3125</v>
      </c>
      <c r="F37" s="89">
        <v>90</v>
      </c>
      <c r="G37" s="89">
        <v>43.337499999999999</v>
      </c>
      <c r="H37" s="89" t="s">
        <v>10</v>
      </c>
      <c r="I37" s="89">
        <v>48.129999999999995</v>
      </c>
    </row>
    <row r="38" spans="1:10" ht="14.25" x14ac:dyDescent="0.2">
      <c r="A38" s="32" t="s">
        <v>49</v>
      </c>
      <c r="B38" s="89">
        <v>48.37</v>
      </c>
      <c r="C38" s="89">
        <v>73.625</v>
      </c>
      <c r="D38" s="89" t="s">
        <v>10</v>
      </c>
      <c r="E38" s="89">
        <v>58.9375</v>
      </c>
      <c r="F38" s="89">
        <v>93</v>
      </c>
      <c r="G38" s="89">
        <v>44.945</v>
      </c>
      <c r="H38" s="89" t="s">
        <v>10</v>
      </c>
      <c r="I38" s="89">
        <v>53.125</v>
      </c>
    </row>
    <row r="39" spans="1:10" ht="14.25" x14ac:dyDescent="0.2">
      <c r="A39" s="32" t="s">
        <v>50</v>
      </c>
      <c r="B39" s="89">
        <v>54</v>
      </c>
      <c r="C39" s="89">
        <v>86.9375</v>
      </c>
      <c r="D39" s="89" t="s">
        <v>10</v>
      </c>
      <c r="E39" s="89">
        <v>71.3125</v>
      </c>
      <c r="F39" s="89">
        <v>105.25</v>
      </c>
      <c r="G39" s="89">
        <v>52.05</v>
      </c>
      <c r="H39" s="89">
        <v>55</v>
      </c>
      <c r="I39" s="89">
        <v>55.943333333333328</v>
      </c>
    </row>
    <row r="40" spans="1:10" ht="14.25" x14ac:dyDescent="0.2">
      <c r="A40" s="32" t="s">
        <v>51</v>
      </c>
      <c r="B40" s="89">
        <v>62.88</v>
      </c>
      <c r="C40" s="105">
        <v>92.65</v>
      </c>
      <c r="D40" s="89">
        <v>83</v>
      </c>
      <c r="E40" s="89">
        <v>79.55</v>
      </c>
      <c r="F40" s="89">
        <v>109.2</v>
      </c>
      <c r="G40" s="89">
        <v>59.8125</v>
      </c>
      <c r="H40" s="89" t="s">
        <v>10</v>
      </c>
      <c r="I40" s="89">
        <v>59.3825</v>
      </c>
    </row>
    <row r="41" spans="1:10" ht="14.25" x14ac:dyDescent="0.2">
      <c r="A41" s="32" t="s">
        <v>52</v>
      </c>
      <c r="B41" s="89">
        <v>74.75</v>
      </c>
      <c r="C41" s="105">
        <v>102.1875</v>
      </c>
      <c r="D41" s="89">
        <v>83</v>
      </c>
      <c r="E41" s="89">
        <v>94.0625</v>
      </c>
      <c r="F41" s="89">
        <v>110</v>
      </c>
      <c r="G41" s="89">
        <v>68.25</v>
      </c>
      <c r="H41" s="89">
        <v>58</v>
      </c>
      <c r="I41" s="89">
        <v>64.724999999999994</v>
      </c>
      <c r="J41" s="108"/>
    </row>
    <row r="42" spans="1:10" ht="14.25" x14ac:dyDescent="0.2">
      <c r="A42" s="32" t="s">
        <v>53</v>
      </c>
      <c r="B42" s="105">
        <v>74.75</v>
      </c>
      <c r="C42" s="105">
        <v>100.6875</v>
      </c>
      <c r="D42" s="89" t="s">
        <v>10</v>
      </c>
      <c r="E42" s="89">
        <v>93.5</v>
      </c>
      <c r="F42" s="89">
        <v>108.1875</v>
      </c>
      <c r="G42" s="89">
        <v>67.599999999999994</v>
      </c>
      <c r="H42" s="89" t="s">
        <v>10</v>
      </c>
      <c r="I42" s="89">
        <v>63.666666666666664</v>
      </c>
    </row>
    <row r="43" spans="1:10" ht="14.25" x14ac:dyDescent="0.2">
      <c r="A43" s="32" t="s">
        <v>55</v>
      </c>
      <c r="B43" s="105">
        <v>72.930000000000007</v>
      </c>
      <c r="C43" s="105">
        <v>99.9</v>
      </c>
      <c r="D43" s="89" t="s">
        <v>10</v>
      </c>
      <c r="E43" s="89">
        <v>92.3</v>
      </c>
      <c r="F43" s="89">
        <v>106</v>
      </c>
      <c r="G43" s="89">
        <v>66.094999999999999</v>
      </c>
      <c r="H43" s="89" t="s">
        <v>10</v>
      </c>
      <c r="I43" s="89">
        <v>66.333333333333329</v>
      </c>
    </row>
    <row r="44" spans="1:10" ht="14.25" x14ac:dyDescent="0.2">
      <c r="A44" s="26" t="s">
        <v>56</v>
      </c>
      <c r="B44" s="23">
        <v>70.010000000000005</v>
      </c>
      <c r="C44" s="23">
        <v>96.5</v>
      </c>
      <c r="D44" s="24" t="s">
        <v>10</v>
      </c>
      <c r="E44" s="24">
        <v>81</v>
      </c>
      <c r="F44" s="24">
        <v>108.75</v>
      </c>
      <c r="G44" s="24">
        <v>64.156000000000006</v>
      </c>
      <c r="H44" s="24">
        <v>72.333333333333329</v>
      </c>
      <c r="I44" s="24">
        <v>72</v>
      </c>
    </row>
    <row r="45" spans="1:10" ht="16.5" x14ac:dyDescent="0.2">
      <c r="A45" s="79" t="s">
        <v>161</v>
      </c>
      <c r="B45" s="106"/>
      <c r="C45" s="106"/>
      <c r="D45" s="106"/>
      <c r="E45" s="106"/>
      <c r="F45" s="106"/>
      <c r="G45" s="106"/>
      <c r="H45" s="106"/>
      <c r="I45" s="106"/>
    </row>
    <row r="46" spans="1:10" ht="16.5" x14ac:dyDescent="0.2">
      <c r="A46" s="28" t="s">
        <v>147</v>
      </c>
      <c r="B46" s="106"/>
      <c r="C46" s="106"/>
      <c r="D46" s="106"/>
      <c r="E46" s="106"/>
      <c r="F46" s="106"/>
      <c r="G46" s="106"/>
      <c r="H46" s="106"/>
      <c r="I46" s="106"/>
    </row>
    <row r="47" spans="1:10" ht="14.25" x14ac:dyDescent="0.2">
      <c r="A47" s="28" t="s">
        <v>163</v>
      </c>
      <c r="B47" s="28"/>
      <c r="C47" s="28"/>
      <c r="D47" s="28"/>
      <c r="E47" s="28"/>
      <c r="F47" s="106"/>
      <c r="G47" s="28"/>
      <c r="H47" s="28"/>
      <c r="I47" s="28"/>
    </row>
    <row r="48" spans="1:10" ht="14.25" x14ac:dyDescent="0.2">
      <c r="A48" s="34" t="s">
        <v>18</v>
      </c>
      <c r="B48" s="68">
        <f ca="1">NOW()</f>
        <v>44452.456168171295</v>
      </c>
      <c r="C48" s="28"/>
      <c r="D48" s="28"/>
      <c r="E48" s="28"/>
      <c r="F48" s="28"/>
      <c r="G48" s="28"/>
      <c r="H48" s="28"/>
      <c r="I48" s="28"/>
    </row>
    <row r="49" spans="2:9" ht="15.75" x14ac:dyDescent="0.25">
      <c r="C49" s="107"/>
      <c r="G49" s="107"/>
      <c r="H49" s="107"/>
      <c r="I49" s="107"/>
    </row>
    <row r="50" spans="2:9" ht="15.75" x14ac:dyDescent="0.25">
      <c r="B50" s="108"/>
      <c r="C50" s="107"/>
      <c r="G50" s="107"/>
      <c r="H50" s="107"/>
      <c r="I50" s="107"/>
    </row>
    <row r="51" spans="2:9" ht="15.75" x14ac:dyDescent="0.25">
      <c r="B51" s="108"/>
      <c r="C51" s="164"/>
      <c r="G51" s="107"/>
      <c r="H51" s="107"/>
      <c r="I51" s="107"/>
    </row>
    <row r="52" spans="2:9" ht="15.75" x14ac:dyDescent="0.25">
      <c r="C52" s="107"/>
      <c r="G52" s="107"/>
      <c r="H52" s="107"/>
      <c r="I52" s="107"/>
    </row>
    <row r="53" spans="2:9" ht="15.75" x14ac:dyDescent="0.25">
      <c r="C53" s="107"/>
      <c r="G53" s="107"/>
      <c r="H53" s="107"/>
      <c r="I53" s="107"/>
    </row>
    <row r="54" spans="2:9" ht="15.75" x14ac:dyDescent="0.25">
      <c r="C54" s="107"/>
      <c r="G54" s="107"/>
      <c r="H54" s="107"/>
      <c r="I54" s="107"/>
    </row>
    <row r="55" spans="2:9" ht="15.75" x14ac:dyDescent="0.25">
      <c r="C55" s="107"/>
      <c r="G55" s="107"/>
      <c r="H55" s="107"/>
      <c r="I55" s="107"/>
    </row>
    <row r="56" spans="2:9" ht="15.75" x14ac:dyDescent="0.25">
      <c r="C56" s="107"/>
      <c r="G56" s="107"/>
      <c r="H56" s="107"/>
      <c r="I56" s="107"/>
    </row>
    <row r="57" spans="2:9" ht="15.75" x14ac:dyDescent="0.25">
      <c r="C57" s="107"/>
      <c r="G57" s="107"/>
      <c r="H57" s="107"/>
      <c r="I57" s="107"/>
    </row>
    <row r="58" spans="2:9" ht="15.75" x14ac:dyDescent="0.25">
      <c r="C58" s="107"/>
      <c r="G58" s="107"/>
      <c r="H58" s="107"/>
      <c r="I58" s="107"/>
    </row>
    <row r="59" spans="2:9" ht="15.75" x14ac:dyDescent="0.25">
      <c r="C59" s="107"/>
      <c r="G59" s="107"/>
      <c r="H59" s="107"/>
      <c r="I59" s="107"/>
    </row>
    <row r="60" spans="2:9" ht="15.75" x14ac:dyDescent="0.25">
      <c r="C60" s="107"/>
      <c r="G60" s="107"/>
      <c r="H60" s="107"/>
      <c r="I60" s="107"/>
    </row>
    <row r="61" spans="2:9" ht="15.75" x14ac:dyDescent="0.25">
      <c r="C61" s="107"/>
      <c r="G61" s="107"/>
      <c r="H61" s="107"/>
      <c r="I61" s="107"/>
    </row>
    <row r="62" spans="2:9" ht="15.75" x14ac:dyDescent="0.25">
      <c r="C62" s="107"/>
      <c r="G62" s="107"/>
      <c r="H62" s="107"/>
      <c r="I62" s="107"/>
    </row>
    <row r="63" spans="2:9" ht="15.75" x14ac:dyDescent="0.25">
      <c r="C63" s="107"/>
      <c r="G63" s="107"/>
      <c r="H63" s="107"/>
      <c r="I63" s="107"/>
    </row>
    <row r="64" spans="2:9" ht="15.75" x14ac:dyDescent="0.25">
      <c r="C64" s="107"/>
      <c r="G64" s="107"/>
      <c r="H64" s="107"/>
      <c r="I64" s="107"/>
    </row>
    <row r="65" spans="3:9" ht="15.75" x14ac:dyDescent="0.25">
      <c r="C65" s="107"/>
      <c r="H65" s="107"/>
      <c r="I65" s="107"/>
    </row>
    <row r="66" spans="3:9" ht="15.75" x14ac:dyDescent="0.25">
      <c r="C66" s="107"/>
      <c r="H66" s="107"/>
      <c r="I66" s="107"/>
    </row>
    <row r="67" spans="3:9" ht="15.75" x14ac:dyDescent="0.25">
      <c r="C67" s="107"/>
      <c r="F67" s="108"/>
      <c r="H67" s="107"/>
      <c r="I67" s="107"/>
    </row>
    <row r="68" spans="3:9" ht="15.75" x14ac:dyDescent="0.25">
      <c r="F68" s="108"/>
      <c r="H68" s="107"/>
      <c r="I68" s="107"/>
    </row>
  </sheetData>
  <phoneticPr fontId="10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E60"/>
  <sheetViews>
    <sheetView showGridLines="0" zoomScale="80" zoomScaleNormal="80" workbookViewId="0"/>
  </sheetViews>
  <sheetFormatPr defaultRowHeight="12.75" x14ac:dyDescent="0.2"/>
  <cols>
    <col min="1" max="1" width="11.7109375" style="27" customWidth="1"/>
    <col min="2" max="7" width="13.7109375" style="27" customWidth="1"/>
    <col min="8" max="8" width="10.140625" style="27" bestFit="1" customWidth="1"/>
    <col min="9" max="9" width="9.140625" style="27"/>
    <col min="10" max="10" width="20.28515625" style="27" bestFit="1" customWidth="1"/>
    <col min="11" max="13" width="9.140625" style="27"/>
    <col min="14" max="14" width="8.85546875" style="27" customWidth="1"/>
    <col min="15" max="15" width="18" style="27" bestFit="1" customWidth="1"/>
    <col min="16" max="16384" width="9.140625" style="27"/>
  </cols>
  <sheetData>
    <row r="1" spans="1:31" ht="14.25" x14ac:dyDescent="0.2">
      <c r="A1" s="26" t="s">
        <v>144</v>
      </c>
      <c r="B1" s="26"/>
      <c r="C1" s="26"/>
      <c r="D1" s="26"/>
      <c r="E1" s="26"/>
      <c r="F1" s="26"/>
      <c r="G1" s="26"/>
    </row>
    <row r="2" spans="1:31" ht="15.6" customHeight="1" x14ac:dyDescent="0.2">
      <c r="A2" s="32" t="s">
        <v>11</v>
      </c>
      <c r="B2" s="49" t="s">
        <v>35</v>
      </c>
      <c r="C2" s="109" t="s">
        <v>13</v>
      </c>
      <c r="D2" s="109" t="s">
        <v>68</v>
      </c>
      <c r="E2" s="109" t="s">
        <v>36</v>
      </c>
      <c r="F2" s="49" t="s">
        <v>37</v>
      </c>
      <c r="G2" s="30" t="s">
        <v>38</v>
      </c>
      <c r="AE2" s="110"/>
    </row>
    <row r="3" spans="1:31" ht="15.6" customHeight="1" x14ac:dyDescent="0.2">
      <c r="A3" s="26" t="s">
        <v>12</v>
      </c>
      <c r="B3" s="37" t="s">
        <v>109</v>
      </c>
      <c r="C3" s="37" t="s">
        <v>110</v>
      </c>
      <c r="D3" s="37" t="s">
        <v>111</v>
      </c>
      <c r="E3" s="37" t="s">
        <v>112</v>
      </c>
      <c r="F3" s="37" t="s">
        <v>113</v>
      </c>
      <c r="G3" s="37" t="s">
        <v>114</v>
      </c>
      <c r="AE3" s="110"/>
    </row>
    <row r="4" spans="1:31" ht="14.25" x14ac:dyDescent="0.2">
      <c r="A4" s="28"/>
      <c r="B4" s="101" t="s">
        <v>135</v>
      </c>
      <c r="C4" s="102"/>
      <c r="D4" s="102"/>
      <c r="E4" s="102"/>
      <c r="F4" s="102"/>
      <c r="G4" s="102"/>
      <c r="AE4" s="110"/>
    </row>
    <row r="5" spans="1:31" ht="14.25" x14ac:dyDescent="0.2">
      <c r="A5" s="28"/>
      <c r="B5" s="28"/>
      <c r="C5" s="28"/>
      <c r="D5" s="28"/>
      <c r="E5" s="28"/>
      <c r="F5" s="28"/>
      <c r="G5" s="28"/>
      <c r="AE5" s="110"/>
    </row>
    <row r="6" spans="1:31" ht="14.25" x14ac:dyDescent="0.2">
      <c r="A6" s="28" t="s">
        <v>43</v>
      </c>
      <c r="B6" s="89">
        <v>345.52</v>
      </c>
      <c r="C6" s="89">
        <v>273.83999999999997</v>
      </c>
      <c r="D6" s="89">
        <v>219.72</v>
      </c>
      <c r="E6" s="111" t="s">
        <v>10</v>
      </c>
      <c r="F6" s="89">
        <v>263.63</v>
      </c>
      <c r="G6" s="89">
        <v>240.65</v>
      </c>
      <c r="AE6" s="110"/>
    </row>
    <row r="7" spans="1:31" ht="14.25" x14ac:dyDescent="0.2">
      <c r="A7" s="28" t="s">
        <v>54</v>
      </c>
      <c r="B7" s="89">
        <v>393.53</v>
      </c>
      <c r="C7" s="89">
        <v>275.13</v>
      </c>
      <c r="D7" s="89">
        <v>246.75</v>
      </c>
      <c r="E7" s="111" t="s">
        <v>10</v>
      </c>
      <c r="F7" s="89">
        <v>307.58999999999997</v>
      </c>
      <c r="G7" s="89">
        <v>265.68</v>
      </c>
      <c r="AE7" s="110"/>
    </row>
    <row r="8" spans="1:31" ht="14.25" x14ac:dyDescent="0.2">
      <c r="A8" s="28" t="s">
        <v>69</v>
      </c>
      <c r="B8" s="89">
        <v>468.11</v>
      </c>
      <c r="C8" s="89">
        <v>331.52</v>
      </c>
      <c r="D8" s="89">
        <v>241.57</v>
      </c>
      <c r="E8" s="111" t="s">
        <v>10</v>
      </c>
      <c r="F8" s="89">
        <v>354.22</v>
      </c>
      <c r="G8" s="89">
        <v>329.31</v>
      </c>
      <c r="AE8" s="110"/>
    </row>
    <row r="9" spans="1:31" ht="14.25" x14ac:dyDescent="0.2">
      <c r="A9" s="28" t="s">
        <v>75</v>
      </c>
      <c r="B9" s="89">
        <v>489.94</v>
      </c>
      <c r="C9" s="89">
        <v>377.71</v>
      </c>
      <c r="D9" s="89">
        <v>238.87</v>
      </c>
      <c r="E9" s="111" t="s">
        <v>10</v>
      </c>
      <c r="F9" s="89">
        <v>359.7</v>
      </c>
      <c r="G9" s="89">
        <v>337.23</v>
      </c>
      <c r="AE9" s="110"/>
    </row>
    <row r="10" spans="1:31" ht="14.25" x14ac:dyDescent="0.2">
      <c r="A10" s="28" t="s">
        <v>77</v>
      </c>
      <c r="B10" s="89">
        <v>368.49</v>
      </c>
      <c r="C10" s="89">
        <v>304.27</v>
      </c>
      <c r="D10" s="89">
        <v>209.97</v>
      </c>
      <c r="E10" s="111" t="s">
        <v>10</v>
      </c>
      <c r="F10" s="89">
        <v>301.2</v>
      </c>
      <c r="G10" s="89">
        <v>256.58</v>
      </c>
      <c r="AE10" s="110"/>
    </row>
    <row r="11" spans="1:31" ht="14.25" x14ac:dyDescent="0.2">
      <c r="A11" s="28" t="s">
        <v>78</v>
      </c>
      <c r="B11" s="89">
        <v>324.56</v>
      </c>
      <c r="C11" s="89">
        <v>261.19</v>
      </c>
      <c r="D11" s="89">
        <v>153.16999999999999</v>
      </c>
      <c r="E11" s="111" t="s">
        <v>10</v>
      </c>
      <c r="F11" s="89">
        <v>262.2</v>
      </c>
      <c r="G11" s="89">
        <v>260.23</v>
      </c>
      <c r="AE11" s="110"/>
    </row>
    <row r="12" spans="1:31" ht="14.25" x14ac:dyDescent="0.2">
      <c r="A12" s="28" t="s">
        <v>90</v>
      </c>
      <c r="B12" s="89">
        <v>316.88</v>
      </c>
      <c r="C12" s="89">
        <v>208.61</v>
      </c>
      <c r="D12" s="89">
        <v>145.1</v>
      </c>
      <c r="E12" s="111" t="s">
        <v>10</v>
      </c>
      <c r="F12" s="89">
        <v>267.94</v>
      </c>
      <c r="G12" s="89">
        <v>282.49</v>
      </c>
      <c r="AE12" s="110"/>
    </row>
    <row r="13" spans="1:31" ht="14.25" x14ac:dyDescent="0.2">
      <c r="A13" s="28" t="s">
        <v>91</v>
      </c>
      <c r="B13" s="89">
        <v>345.02</v>
      </c>
      <c r="C13" s="89">
        <v>260.88</v>
      </c>
      <c r="D13" s="89">
        <v>173.53</v>
      </c>
      <c r="E13" s="111" t="s">
        <v>10</v>
      </c>
      <c r="F13" s="89">
        <v>291.14999999999998</v>
      </c>
      <c r="G13" s="89">
        <v>239.15</v>
      </c>
    </row>
    <row r="14" spans="1:31" ht="14.25" x14ac:dyDescent="0.2">
      <c r="A14" s="28" t="s">
        <v>115</v>
      </c>
      <c r="B14" s="89">
        <v>308.27999999999997</v>
      </c>
      <c r="C14" s="89">
        <v>228.64</v>
      </c>
      <c r="D14" s="105">
        <v>164.16</v>
      </c>
      <c r="E14" s="111" t="s">
        <v>10</v>
      </c>
      <c r="F14" s="89">
        <v>272.38</v>
      </c>
      <c r="G14" s="89">
        <v>225.77</v>
      </c>
    </row>
    <row r="15" spans="1:31" ht="14.25" x14ac:dyDescent="0.2">
      <c r="A15" s="28" t="s">
        <v>117</v>
      </c>
      <c r="B15" s="89">
        <v>299.5</v>
      </c>
      <c r="C15" s="89">
        <v>247.04</v>
      </c>
      <c r="D15" s="105">
        <v>187.7</v>
      </c>
      <c r="E15" s="111" t="s">
        <v>10</v>
      </c>
      <c r="F15" s="89">
        <v>273.99</v>
      </c>
      <c r="G15" s="89">
        <v>245.88</v>
      </c>
    </row>
    <row r="16" spans="1:31" ht="16.5" x14ac:dyDescent="0.2">
      <c r="A16" s="28" t="s">
        <v>120</v>
      </c>
      <c r="B16" s="89">
        <v>395</v>
      </c>
      <c r="C16" s="89">
        <v>375</v>
      </c>
      <c r="D16" s="105">
        <v>245</v>
      </c>
      <c r="E16" s="111" t="s">
        <v>10</v>
      </c>
      <c r="F16" s="89">
        <v>352</v>
      </c>
      <c r="G16" s="89">
        <v>290</v>
      </c>
    </row>
    <row r="17" spans="1:16" ht="16.5" x14ac:dyDescent="0.2">
      <c r="A17" s="28" t="s">
        <v>152</v>
      </c>
      <c r="B17" s="89">
        <v>360</v>
      </c>
      <c r="C17" s="89">
        <v>320</v>
      </c>
      <c r="D17" s="105">
        <v>205</v>
      </c>
      <c r="E17" s="111" t="s">
        <v>10</v>
      </c>
      <c r="F17" s="89">
        <v>320</v>
      </c>
      <c r="G17" s="89">
        <v>260</v>
      </c>
    </row>
    <row r="18" spans="1:16" ht="14.25" x14ac:dyDescent="0.2">
      <c r="A18" s="112"/>
      <c r="B18" s="89"/>
      <c r="C18" s="89"/>
      <c r="D18" s="89"/>
      <c r="E18" s="111"/>
      <c r="F18" s="89"/>
      <c r="G18" s="89"/>
      <c r="H18" s="113"/>
    </row>
    <row r="19" spans="1:16" ht="15" x14ac:dyDescent="0.25">
      <c r="A19" s="50" t="s">
        <v>117</v>
      </c>
      <c r="B19" s="89"/>
      <c r="C19" s="89"/>
      <c r="D19" s="89"/>
      <c r="E19" s="111"/>
      <c r="F19" s="89"/>
      <c r="G19" s="89"/>
      <c r="I19" s="114"/>
      <c r="M19" s="114"/>
    </row>
    <row r="20" spans="1:16" ht="14.25" x14ac:dyDescent="0.2">
      <c r="A20" s="28" t="s">
        <v>45</v>
      </c>
      <c r="B20" s="89">
        <v>309.48</v>
      </c>
      <c r="C20" s="89">
        <v>213.13</v>
      </c>
      <c r="D20" s="89">
        <v>169</v>
      </c>
      <c r="E20" s="111" t="s">
        <v>10</v>
      </c>
      <c r="F20" s="89">
        <v>267.89999999999998</v>
      </c>
      <c r="G20" s="89">
        <v>226.5</v>
      </c>
      <c r="I20" s="114"/>
      <c r="J20" s="114"/>
      <c r="K20" s="114"/>
      <c r="L20" s="114"/>
      <c r="M20" s="114"/>
    </row>
    <row r="21" spans="1:16" ht="14.25" x14ac:dyDescent="0.2">
      <c r="A21" s="28" t="s">
        <v>46</v>
      </c>
      <c r="B21" s="89">
        <v>303.13</v>
      </c>
      <c r="C21" s="89">
        <v>233.75</v>
      </c>
      <c r="D21" s="89">
        <v>166.88</v>
      </c>
      <c r="E21" s="111" t="s">
        <v>10</v>
      </c>
      <c r="F21" s="89" t="s">
        <v>10</v>
      </c>
      <c r="G21" s="89">
        <v>226.88</v>
      </c>
      <c r="I21" s="114"/>
      <c r="J21" s="114"/>
      <c r="K21" s="114"/>
      <c r="L21" s="114"/>
      <c r="M21" s="114"/>
    </row>
    <row r="22" spans="1:16" ht="14.25" x14ac:dyDescent="0.2">
      <c r="A22" s="28" t="s">
        <v>47</v>
      </c>
      <c r="B22" s="89">
        <v>299.58999999999997</v>
      </c>
      <c r="C22" s="89">
        <v>250.83</v>
      </c>
      <c r="D22" s="89">
        <v>180</v>
      </c>
      <c r="E22" s="111" t="s">
        <v>10</v>
      </c>
      <c r="F22" s="89" t="s">
        <v>10</v>
      </c>
      <c r="G22" s="89">
        <f>(235+227.5+232.5)/3</f>
        <v>231.66666666666666</v>
      </c>
      <c r="I22" s="114"/>
      <c r="J22" s="114"/>
      <c r="K22" s="114"/>
      <c r="L22" s="114"/>
      <c r="M22" s="114"/>
    </row>
    <row r="23" spans="1:16" ht="14.25" x14ac:dyDescent="0.2">
      <c r="A23" s="28" t="s">
        <v>48</v>
      </c>
      <c r="B23" s="89">
        <v>300.11</v>
      </c>
      <c r="C23" s="89">
        <v>239.38</v>
      </c>
      <c r="D23" s="89">
        <v>185</v>
      </c>
      <c r="E23" s="111" t="s">
        <v>10</v>
      </c>
      <c r="F23" s="89" t="s">
        <v>10</v>
      </c>
      <c r="G23" s="89">
        <v>248.13</v>
      </c>
      <c r="I23" s="114"/>
      <c r="J23" s="114"/>
      <c r="K23" s="114"/>
      <c r="L23" s="114"/>
      <c r="M23" s="114"/>
    </row>
    <row r="24" spans="1:16" ht="14.25" x14ac:dyDescent="0.2">
      <c r="A24" s="28" t="s">
        <v>49</v>
      </c>
      <c r="B24" s="89">
        <v>295.27999999999997</v>
      </c>
      <c r="C24" s="89">
        <v>250.63</v>
      </c>
      <c r="D24" s="89">
        <v>188.13</v>
      </c>
      <c r="E24" s="111" t="s">
        <v>10</v>
      </c>
      <c r="F24" s="89">
        <v>253.67</v>
      </c>
      <c r="G24" s="89">
        <v>262.5</v>
      </c>
      <c r="I24" s="114"/>
      <c r="J24" s="114"/>
      <c r="K24" s="115"/>
    </row>
    <row r="25" spans="1:16" ht="15" x14ac:dyDescent="0.2">
      <c r="A25" s="28" t="s">
        <v>50</v>
      </c>
      <c r="B25" s="89">
        <v>312.38</v>
      </c>
      <c r="C25" s="89">
        <v>259</v>
      </c>
      <c r="D25" s="89">
        <v>180</v>
      </c>
      <c r="E25" s="111" t="s">
        <v>10</v>
      </c>
      <c r="F25" s="89">
        <v>274.75</v>
      </c>
      <c r="G25" s="89">
        <v>263</v>
      </c>
      <c r="I25" s="114"/>
      <c r="J25" s="114"/>
      <c r="K25" s="116"/>
      <c r="M25" s="116"/>
      <c r="N25" s="116"/>
    </row>
    <row r="26" spans="1:16" ht="14.25" x14ac:dyDescent="0.2">
      <c r="A26" s="28" t="s">
        <v>51</v>
      </c>
      <c r="B26" s="89">
        <v>295.39999999999998</v>
      </c>
      <c r="C26" s="89">
        <v>281.88</v>
      </c>
      <c r="D26" s="89">
        <v>183.75</v>
      </c>
      <c r="E26" s="111" t="s">
        <v>10</v>
      </c>
      <c r="F26" s="89">
        <v>274.52999999999997</v>
      </c>
      <c r="G26" s="89">
        <v>260</v>
      </c>
      <c r="I26" s="114"/>
      <c r="J26" s="114"/>
      <c r="K26" s="114"/>
      <c r="L26" s="114"/>
      <c r="M26" s="114"/>
    </row>
    <row r="27" spans="1:16" ht="15" x14ac:dyDescent="0.2">
      <c r="A27" s="28" t="s">
        <v>52</v>
      </c>
      <c r="B27" s="89">
        <v>288.56</v>
      </c>
      <c r="C27" s="89">
        <v>251.88</v>
      </c>
      <c r="D27" s="89">
        <v>180.63</v>
      </c>
      <c r="E27" s="111" t="s">
        <v>10</v>
      </c>
      <c r="F27" s="89">
        <v>276.25</v>
      </c>
      <c r="G27" s="89">
        <v>257.5</v>
      </c>
      <c r="I27" s="114"/>
      <c r="J27" s="114"/>
      <c r="K27" s="114"/>
      <c r="L27" s="116"/>
      <c r="M27" s="114"/>
      <c r="N27" s="116"/>
      <c r="O27" s="116"/>
    </row>
    <row r="28" spans="1:16" ht="14.25" x14ac:dyDescent="0.2">
      <c r="A28" s="28" t="s">
        <v>53</v>
      </c>
      <c r="B28" s="89">
        <v>288.66000000000003</v>
      </c>
      <c r="C28" s="89">
        <v>245.5</v>
      </c>
      <c r="D28" s="89">
        <v>187.5</v>
      </c>
      <c r="E28" s="111" t="s">
        <v>10</v>
      </c>
      <c r="F28" s="89">
        <v>270.02999999999997</v>
      </c>
      <c r="G28" s="89">
        <v>245.63</v>
      </c>
      <c r="I28" s="114"/>
      <c r="J28" s="114"/>
      <c r="K28" s="114"/>
    </row>
    <row r="29" spans="1:16" ht="14.25" x14ac:dyDescent="0.2">
      <c r="A29" s="28" t="s">
        <v>55</v>
      </c>
      <c r="B29" s="89">
        <v>291.25</v>
      </c>
      <c r="C29" s="89">
        <v>245</v>
      </c>
      <c r="D29" s="89">
        <v>202.5</v>
      </c>
      <c r="E29" s="111" t="s">
        <v>10</v>
      </c>
      <c r="F29" s="89">
        <v>271.11</v>
      </c>
      <c r="G29" s="89">
        <v>250</v>
      </c>
      <c r="I29" s="114"/>
      <c r="J29" s="114"/>
      <c r="K29" s="114"/>
    </row>
    <row r="30" spans="1:16" ht="15" x14ac:dyDescent="0.2">
      <c r="A30" s="28" t="s">
        <v>56</v>
      </c>
      <c r="B30" s="89">
        <v>290.18</v>
      </c>
      <c r="C30" s="89">
        <v>245</v>
      </c>
      <c r="D30" s="89">
        <v>217.5</v>
      </c>
      <c r="E30" s="111" t="s">
        <v>10</v>
      </c>
      <c r="F30" s="89">
        <v>281.08999999999997</v>
      </c>
      <c r="G30" s="89">
        <v>251.75</v>
      </c>
      <c r="I30" s="114"/>
      <c r="J30" s="116"/>
      <c r="K30" s="114"/>
      <c r="L30" s="116"/>
      <c r="M30" s="114"/>
    </row>
    <row r="31" spans="1:16" ht="15" x14ac:dyDescent="0.2">
      <c r="A31" s="28" t="s">
        <v>58</v>
      </c>
      <c r="B31" s="89">
        <v>319.99</v>
      </c>
      <c r="C31" s="89">
        <v>248.5</v>
      </c>
      <c r="D31" s="89">
        <v>211.5</v>
      </c>
      <c r="E31" s="111" t="s">
        <v>10</v>
      </c>
      <c r="F31" s="89">
        <v>296.60000000000002</v>
      </c>
      <c r="G31" s="89">
        <v>227</v>
      </c>
      <c r="I31" s="114"/>
      <c r="J31" s="114"/>
      <c r="K31" s="115"/>
      <c r="P31" s="116"/>
    </row>
    <row r="32" spans="1:16" ht="15" x14ac:dyDescent="0.2">
      <c r="A32" s="32"/>
      <c r="B32" s="89"/>
      <c r="C32" s="89"/>
      <c r="D32" s="89"/>
      <c r="E32" s="111"/>
      <c r="F32" s="89"/>
      <c r="G32" s="89"/>
      <c r="I32" s="114"/>
      <c r="J32" s="116"/>
      <c r="K32" s="116"/>
      <c r="L32" s="114"/>
      <c r="M32" s="116"/>
      <c r="N32" s="116"/>
      <c r="O32" s="116"/>
      <c r="P32" s="116"/>
    </row>
    <row r="33" spans="1:16" ht="15" x14ac:dyDescent="0.25">
      <c r="A33" s="50" t="s">
        <v>125</v>
      </c>
      <c r="B33" s="89"/>
      <c r="C33" s="89"/>
      <c r="D33" s="89"/>
      <c r="E33" s="111"/>
      <c r="F33" s="89"/>
      <c r="G33" s="89"/>
      <c r="I33" s="115"/>
      <c r="J33" s="116"/>
      <c r="K33" s="116"/>
      <c r="L33" s="114"/>
      <c r="M33" s="114"/>
      <c r="P33" s="116"/>
    </row>
    <row r="34" spans="1:16" ht="15" x14ac:dyDescent="0.2">
      <c r="A34" s="28" t="s">
        <v>45</v>
      </c>
      <c r="B34" s="89">
        <v>367.11</v>
      </c>
      <c r="C34" s="89">
        <v>301.88</v>
      </c>
      <c r="D34" s="89">
        <v>211.25</v>
      </c>
      <c r="E34" s="111" t="s">
        <v>10</v>
      </c>
      <c r="F34" s="89">
        <v>327.24</v>
      </c>
      <c r="G34" s="89">
        <v>239.375</v>
      </c>
      <c r="H34" s="117"/>
      <c r="I34" s="114"/>
      <c r="J34" s="116"/>
      <c r="K34" s="116"/>
      <c r="L34" s="114"/>
      <c r="M34" s="114"/>
      <c r="P34" s="116"/>
    </row>
    <row r="35" spans="1:16" ht="15" x14ac:dyDescent="0.2">
      <c r="A35" s="28" t="s">
        <v>46</v>
      </c>
      <c r="B35" s="89">
        <v>387.83</v>
      </c>
      <c r="C35" s="89">
        <v>365.63</v>
      </c>
      <c r="D35" s="89">
        <v>216.25</v>
      </c>
      <c r="E35" s="111" t="s">
        <v>10</v>
      </c>
      <c r="F35" s="89">
        <v>333.89</v>
      </c>
      <c r="G35" s="89">
        <v>253.75</v>
      </c>
      <c r="H35" s="117"/>
      <c r="I35" s="114"/>
      <c r="J35" s="28"/>
      <c r="K35" s="116"/>
      <c r="L35" s="114"/>
      <c r="M35" s="114"/>
    </row>
    <row r="36" spans="1:16" ht="15" x14ac:dyDescent="0.2">
      <c r="A36" s="28" t="s">
        <v>47</v>
      </c>
      <c r="B36" s="89">
        <v>396.68</v>
      </c>
      <c r="C36" s="89">
        <v>435.83</v>
      </c>
      <c r="D36" s="89">
        <v>252.5</v>
      </c>
      <c r="E36" s="111" t="s">
        <v>10</v>
      </c>
      <c r="F36" s="89">
        <v>338.55</v>
      </c>
      <c r="G36" s="89">
        <v>275</v>
      </c>
      <c r="H36" s="117"/>
      <c r="I36" s="114"/>
      <c r="J36" s="28"/>
      <c r="K36" s="116"/>
      <c r="L36" s="114"/>
    </row>
    <row r="37" spans="1:16" ht="15" x14ac:dyDescent="0.2">
      <c r="A37" s="32" t="s">
        <v>48</v>
      </c>
      <c r="B37" s="89">
        <v>439.24</v>
      </c>
      <c r="C37" s="89">
        <v>443.75</v>
      </c>
      <c r="D37" s="89">
        <v>280.63</v>
      </c>
      <c r="E37" s="111" t="s">
        <v>10</v>
      </c>
      <c r="F37" s="89">
        <v>387.53</v>
      </c>
      <c r="G37" s="89">
        <v>313.125</v>
      </c>
      <c r="I37" s="114"/>
      <c r="J37" s="116"/>
      <c r="K37" s="116"/>
      <c r="L37" s="116"/>
      <c r="M37" s="116"/>
      <c r="N37" s="116"/>
    </row>
    <row r="38" spans="1:16" ht="15" x14ac:dyDescent="0.25">
      <c r="A38" s="32" t="s">
        <v>49</v>
      </c>
      <c r="B38" s="89">
        <v>427.28</v>
      </c>
      <c r="C38" s="89">
        <v>460</v>
      </c>
      <c r="D38" s="89">
        <v>291.88</v>
      </c>
      <c r="E38" s="111" t="s">
        <v>10</v>
      </c>
      <c r="F38" s="89">
        <v>376.07499999999999</v>
      </c>
      <c r="G38" s="89">
        <v>296.25</v>
      </c>
      <c r="I38" s="114"/>
      <c r="J38" s="118"/>
      <c r="K38" s="116"/>
      <c r="L38" s="114"/>
      <c r="M38" s="114"/>
      <c r="O38" s="116"/>
    </row>
    <row r="39" spans="1:16" ht="15" x14ac:dyDescent="0.2">
      <c r="A39" s="32" t="s">
        <v>50</v>
      </c>
      <c r="B39" s="89">
        <v>410.02</v>
      </c>
      <c r="C39" s="89">
        <v>456</v>
      </c>
      <c r="D39" s="89">
        <v>279.5</v>
      </c>
      <c r="E39" s="111" t="s">
        <v>10</v>
      </c>
      <c r="F39" s="89">
        <v>365.14</v>
      </c>
      <c r="G39" s="89">
        <v>322</v>
      </c>
      <c r="I39" s="114"/>
      <c r="J39" s="32"/>
      <c r="K39" s="114"/>
      <c r="L39" s="114"/>
      <c r="M39" s="114"/>
      <c r="O39" s="116"/>
    </row>
    <row r="40" spans="1:16" ht="15" x14ac:dyDescent="0.25">
      <c r="A40" s="32" t="s">
        <v>51</v>
      </c>
      <c r="B40" s="89">
        <v>413.36</v>
      </c>
      <c r="C40" s="89">
        <v>415</v>
      </c>
      <c r="D40" s="89">
        <v>258.125</v>
      </c>
      <c r="E40" s="111" t="s">
        <v>10</v>
      </c>
      <c r="F40" s="89">
        <v>377.57499999999999</v>
      </c>
      <c r="G40" s="89">
        <v>318.75</v>
      </c>
      <c r="I40" s="50"/>
      <c r="J40" s="32"/>
      <c r="K40" s="114"/>
      <c r="L40" s="114"/>
      <c r="M40" s="114"/>
      <c r="O40" s="116"/>
    </row>
    <row r="41" spans="1:16" ht="15" x14ac:dyDescent="0.2">
      <c r="A41" s="32" t="s">
        <v>52</v>
      </c>
      <c r="B41" s="89">
        <v>421.03</v>
      </c>
      <c r="C41" s="89">
        <v>360.625</v>
      </c>
      <c r="D41" s="89">
        <v>265</v>
      </c>
      <c r="E41" s="111" t="s">
        <v>10</v>
      </c>
      <c r="F41" s="89">
        <v>391.45</v>
      </c>
      <c r="G41" s="89">
        <v>335.63</v>
      </c>
      <c r="I41" s="28"/>
      <c r="J41" s="32"/>
      <c r="K41" s="114"/>
      <c r="L41" s="114"/>
      <c r="M41" s="114"/>
      <c r="O41" s="116"/>
    </row>
    <row r="42" spans="1:16" ht="15" x14ac:dyDescent="0.2">
      <c r="A42" s="32" t="s">
        <v>53</v>
      </c>
      <c r="B42" s="89">
        <v>378.18</v>
      </c>
      <c r="C42" s="89">
        <v>337.5</v>
      </c>
      <c r="D42" s="89">
        <v>252.5</v>
      </c>
      <c r="E42" s="111" t="s">
        <v>10</v>
      </c>
      <c r="F42" s="89">
        <v>345.9</v>
      </c>
      <c r="G42" s="89">
        <v>293.5</v>
      </c>
      <c r="I42" s="28"/>
      <c r="J42" s="32"/>
      <c r="K42" s="114"/>
      <c r="L42" s="114"/>
      <c r="M42" s="114"/>
      <c r="O42" s="116"/>
    </row>
    <row r="43" spans="1:16" ht="15" x14ac:dyDescent="0.2">
      <c r="A43" s="32" t="s">
        <v>55</v>
      </c>
      <c r="B43" s="89">
        <v>365.23</v>
      </c>
      <c r="C43" s="89">
        <v>321.875</v>
      </c>
      <c r="D43" s="89">
        <v>206.25</v>
      </c>
      <c r="E43" s="111" t="s">
        <v>10</v>
      </c>
      <c r="F43" s="89">
        <v>326.67499999999995</v>
      </c>
      <c r="G43" s="89">
        <v>262.5</v>
      </c>
      <c r="I43" s="28"/>
      <c r="J43" s="32"/>
      <c r="K43" s="114"/>
      <c r="L43" s="114"/>
      <c r="M43" s="114"/>
      <c r="O43" s="116"/>
    </row>
    <row r="44" spans="1:16" ht="15" x14ac:dyDescent="0.2">
      <c r="A44" s="26" t="s">
        <v>56</v>
      </c>
      <c r="B44" s="24">
        <v>358.21</v>
      </c>
      <c r="C44" s="24">
        <v>303</v>
      </c>
      <c r="D44" s="24">
        <v>219.5</v>
      </c>
      <c r="E44" s="25" t="s">
        <v>10</v>
      </c>
      <c r="F44" s="24">
        <v>329.45</v>
      </c>
      <c r="G44" s="24">
        <v>287.5</v>
      </c>
      <c r="I44" s="28"/>
      <c r="J44" s="32"/>
      <c r="K44" s="114"/>
      <c r="L44" s="114"/>
      <c r="M44" s="114"/>
      <c r="O44" s="116"/>
    </row>
    <row r="45" spans="1:16" ht="16.5" x14ac:dyDescent="0.2">
      <c r="A45" s="79" t="s">
        <v>159</v>
      </c>
      <c r="B45" s="119"/>
      <c r="C45" s="119"/>
      <c r="D45" s="119"/>
      <c r="E45" s="119"/>
      <c r="F45" s="119"/>
      <c r="G45" s="119"/>
      <c r="I45" s="28"/>
      <c r="J45" s="114"/>
      <c r="K45" s="114"/>
      <c r="L45" s="114"/>
    </row>
    <row r="46" spans="1:16" ht="16.5" x14ac:dyDescent="0.2">
      <c r="A46" s="79" t="s">
        <v>148</v>
      </c>
      <c r="B46" s="120"/>
      <c r="C46" s="120"/>
      <c r="D46" s="120"/>
      <c r="E46" s="120"/>
      <c r="F46" s="120"/>
      <c r="G46" s="120"/>
      <c r="I46" s="28"/>
      <c r="J46" s="89"/>
      <c r="K46" s="114"/>
      <c r="L46" s="114"/>
      <c r="M46" s="114"/>
    </row>
    <row r="47" spans="1:16" ht="14.25" x14ac:dyDescent="0.2">
      <c r="A47" s="28" t="s">
        <v>44</v>
      </c>
      <c r="B47" s="120"/>
      <c r="C47" s="120"/>
      <c r="D47" s="120"/>
      <c r="E47" s="120"/>
      <c r="F47" s="120"/>
      <c r="G47" s="120"/>
      <c r="H47" s="80"/>
      <c r="I47" s="32"/>
      <c r="J47" s="89"/>
      <c r="K47" s="114"/>
      <c r="L47" s="114"/>
      <c r="M47" s="114"/>
    </row>
    <row r="48" spans="1:16" ht="14.25" x14ac:dyDescent="0.2">
      <c r="A48" s="28" t="s">
        <v>160</v>
      </c>
      <c r="B48" s="28"/>
      <c r="C48" s="28"/>
      <c r="D48" s="28"/>
      <c r="E48" s="28"/>
      <c r="F48" s="120"/>
      <c r="G48" s="120"/>
      <c r="I48" s="32"/>
      <c r="J48" s="89"/>
      <c r="K48" s="114"/>
      <c r="L48" s="114"/>
      <c r="M48" s="114"/>
    </row>
    <row r="49" spans="1:13" ht="14.25" x14ac:dyDescent="0.2">
      <c r="A49" s="34" t="s">
        <v>18</v>
      </c>
      <c r="B49" s="68">
        <f ca="1">NOW()</f>
        <v>44452.456168402779</v>
      </c>
      <c r="C49" s="28"/>
      <c r="D49" s="28"/>
      <c r="E49" s="28"/>
      <c r="F49" s="120"/>
      <c r="G49" s="120"/>
      <c r="I49" s="32"/>
      <c r="J49" s="89"/>
      <c r="K49" s="121"/>
      <c r="L49" s="121"/>
      <c r="M49" s="121"/>
    </row>
    <row r="50" spans="1:13" ht="14.25" x14ac:dyDescent="0.2">
      <c r="F50" s="120"/>
      <c r="G50" s="120"/>
      <c r="I50" s="32"/>
      <c r="J50" s="89"/>
      <c r="K50" s="121"/>
      <c r="L50" s="121"/>
      <c r="M50" s="121"/>
    </row>
    <row r="51" spans="1:13" ht="14.25" x14ac:dyDescent="0.2">
      <c r="F51" s="120"/>
      <c r="G51" s="120"/>
      <c r="I51" s="32"/>
      <c r="J51" s="89"/>
      <c r="K51" s="114"/>
      <c r="L51" s="114"/>
      <c r="M51" s="114"/>
    </row>
    <row r="52" spans="1:13" x14ac:dyDescent="0.2">
      <c r="I52" s="122"/>
      <c r="J52" s="122"/>
      <c r="K52" s="114"/>
      <c r="L52" s="114"/>
      <c r="M52" s="114"/>
    </row>
    <row r="53" spans="1:13" x14ac:dyDescent="0.2">
      <c r="I53" s="123"/>
      <c r="J53" s="123"/>
      <c r="K53" s="114"/>
      <c r="L53" s="114"/>
      <c r="M53" s="114"/>
    </row>
    <row r="54" spans="1:13" x14ac:dyDescent="0.2">
      <c r="I54" s="123"/>
      <c r="J54" s="123"/>
      <c r="K54" s="114"/>
      <c r="L54" s="114"/>
      <c r="M54" s="114"/>
    </row>
    <row r="55" spans="1:13" x14ac:dyDescent="0.2">
      <c r="I55" s="123"/>
      <c r="J55" s="123"/>
      <c r="K55" s="114"/>
      <c r="L55" s="114"/>
      <c r="M55" s="114"/>
    </row>
    <row r="56" spans="1:13" x14ac:dyDescent="0.2">
      <c r="I56" s="123"/>
      <c r="J56" s="123"/>
      <c r="K56" s="114"/>
      <c r="L56" s="114"/>
      <c r="M56" s="114"/>
    </row>
    <row r="58" spans="1:13" x14ac:dyDescent="0.2">
      <c r="I58" s="124"/>
      <c r="J58" s="124"/>
      <c r="K58" s="124"/>
      <c r="L58" s="124"/>
      <c r="M58" s="124"/>
    </row>
    <row r="59" spans="1:13" x14ac:dyDescent="0.2">
      <c r="I59" s="124"/>
      <c r="J59" s="124"/>
      <c r="K59" s="124"/>
      <c r="L59" s="124"/>
      <c r="M59" s="124"/>
    </row>
    <row r="60" spans="1:13" x14ac:dyDescent="0.2">
      <c r="J60" s="124"/>
    </row>
  </sheetData>
  <phoneticPr fontId="10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E0EE-7AB4-4BA1-B193-42AF2486725D}">
  <dimension ref="A1:F25"/>
  <sheetViews>
    <sheetView zoomScale="90" zoomScaleNormal="90" workbookViewId="0"/>
  </sheetViews>
  <sheetFormatPr defaultColWidth="8.85546875" defaultRowHeight="15" x14ac:dyDescent="0.25"/>
  <cols>
    <col min="1" max="1" width="7.140625" style="155" bestFit="1" customWidth="1"/>
    <col min="2" max="2" width="12.140625" style="152" customWidth="1"/>
    <col min="3" max="3" width="14.140625" style="152" bestFit="1" customWidth="1"/>
    <col min="4" max="5" width="10.28515625" style="152" bestFit="1" customWidth="1"/>
    <col min="6" max="6" width="8.140625" style="152" bestFit="1" customWidth="1"/>
    <col min="7" max="16384" width="8.85546875" style="152"/>
  </cols>
  <sheetData>
    <row r="1" spans="1:6" x14ac:dyDescent="0.25">
      <c r="A1" s="159"/>
      <c r="B1" s="160" t="s">
        <v>168</v>
      </c>
      <c r="C1" s="161"/>
      <c r="D1" s="161"/>
      <c r="E1" s="161"/>
      <c r="F1" s="161"/>
    </row>
    <row r="2" spans="1:6" x14ac:dyDescent="0.25">
      <c r="A2" s="163" t="s">
        <v>167</v>
      </c>
      <c r="B2" s="150" t="s">
        <v>169</v>
      </c>
      <c r="C2" s="151" t="s">
        <v>170</v>
      </c>
      <c r="D2" s="162" t="s">
        <v>171</v>
      </c>
      <c r="E2" s="162" t="s">
        <v>172</v>
      </c>
      <c r="F2" s="162" t="s">
        <v>173</v>
      </c>
    </row>
    <row r="3" spans="1:6" x14ac:dyDescent="0.25">
      <c r="A3" s="156">
        <v>43739</v>
      </c>
      <c r="B3" s="157">
        <v>30.14</v>
      </c>
      <c r="C3" s="157">
        <v>37.94</v>
      </c>
      <c r="D3" s="157">
        <v>36.31</v>
      </c>
      <c r="E3" s="157">
        <v>61.5</v>
      </c>
      <c r="F3" s="157">
        <v>28.3</v>
      </c>
    </row>
    <row r="4" spans="1:6" x14ac:dyDescent="0.25">
      <c r="A4" s="156">
        <v>43770</v>
      </c>
      <c r="B4" s="157">
        <v>30.62</v>
      </c>
      <c r="C4" s="157">
        <v>38.4</v>
      </c>
      <c r="D4" s="157">
        <v>36.15</v>
      </c>
      <c r="E4" s="157">
        <v>63.1</v>
      </c>
      <c r="F4" s="157">
        <v>30.36</v>
      </c>
    </row>
    <row r="5" spans="1:6" x14ac:dyDescent="0.25">
      <c r="A5" s="156">
        <v>43800</v>
      </c>
      <c r="B5" s="157">
        <v>32.270000000000003</v>
      </c>
      <c r="C5" s="157">
        <v>40.25</v>
      </c>
      <c r="D5" s="157">
        <v>38.06</v>
      </c>
      <c r="E5" s="157">
        <v>60.13</v>
      </c>
      <c r="F5" s="157">
        <v>31.25</v>
      </c>
    </row>
    <row r="6" spans="1:6" x14ac:dyDescent="0.25">
      <c r="A6" s="156">
        <v>43831</v>
      </c>
      <c r="B6" s="157">
        <v>33.04</v>
      </c>
      <c r="C6" s="157">
        <v>40.1</v>
      </c>
      <c r="D6" s="157">
        <v>37.9</v>
      </c>
      <c r="E6" s="157">
        <v>59</v>
      </c>
      <c r="F6" s="157">
        <v>33.299999999999997</v>
      </c>
    </row>
    <row r="7" spans="1:6" x14ac:dyDescent="0.25">
      <c r="A7" s="156">
        <v>43862</v>
      </c>
      <c r="B7" s="157">
        <v>30.26</v>
      </c>
      <c r="C7" s="157">
        <v>38.5</v>
      </c>
      <c r="D7" s="157">
        <v>35.5</v>
      </c>
      <c r="E7" s="157">
        <v>59</v>
      </c>
      <c r="F7" s="157">
        <v>36</v>
      </c>
    </row>
    <row r="8" spans="1:6" x14ac:dyDescent="0.25">
      <c r="A8" s="156">
        <v>43891</v>
      </c>
      <c r="B8" s="157">
        <v>27.04</v>
      </c>
      <c r="C8" s="157">
        <v>36.19</v>
      </c>
      <c r="D8" s="157">
        <v>32.880000000000003</v>
      </c>
      <c r="E8" s="157">
        <v>59.75</v>
      </c>
      <c r="F8" s="157">
        <v>36.94</v>
      </c>
    </row>
    <row r="9" spans="1:6" x14ac:dyDescent="0.25">
      <c r="A9" s="156">
        <v>43922</v>
      </c>
      <c r="B9" s="157">
        <v>25.69</v>
      </c>
      <c r="C9" s="157">
        <v>37.31</v>
      </c>
      <c r="D9" s="157">
        <v>32.380000000000003</v>
      </c>
      <c r="E9" s="157">
        <v>59.5</v>
      </c>
      <c r="F9" s="157">
        <v>44.88</v>
      </c>
    </row>
    <row r="10" spans="1:6" x14ac:dyDescent="0.25">
      <c r="A10" s="156">
        <v>43952</v>
      </c>
      <c r="B10" s="157">
        <v>25.27</v>
      </c>
      <c r="C10" s="157">
        <v>37.200000000000003</v>
      </c>
      <c r="D10" s="157">
        <v>32.4</v>
      </c>
      <c r="E10" s="157">
        <v>62.1</v>
      </c>
      <c r="F10" s="157">
        <v>47.64</v>
      </c>
    </row>
    <row r="11" spans="1:6" x14ac:dyDescent="0.25">
      <c r="A11" s="156">
        <v>43983</v>
      </c>
      <c r="B11" s="157">
        <v>26.61</v>
      </c>
      <c r="C11" s="157">
        <v>36.75</v>
      </c>
      <c r="D11" s="157">
        <v>36.630000000000003</v>
      </c>
      <c r="E11" s="157">
        <v>84.75</v>
      </c>
      <c r="F11" s="157">
        <v>51.34</v>
      </c>
    </row>
    <row r="12" spans="1:6" x14ac:dyDescent="0.25">
      <c r="A12" s="156">
        <v>44013</v>
      </c>
      <c r="B12" s="157">
        <v>28.71</v>
      </c>
      <c r="C12" s="157">
        <v>43</v>
      </c>
      <c r="D12" s="157">
        <v>40.5</v>
      </c>
      <c r="E12" s="157">
        <v>85</v>
      </c>
      <c r="F12" s="157">
        <v>45.45</v>
      </c>
    </row>
    <row r="13" spans="1:6" x14ac:dyDescent="0.25">
      <c r="A13" s="156">
        <v>44044</v>
      </c>
      <c r="B13" s="157">
        <v>32.130000000000003</v>
      </c>
      <c r="C13" s="157">
        <v>46.81</v>
      </c>
      <c r="D13" s="157">
        <v>47.81</v>
      </c>
      <c r="E13" s="157">
        <v>90</v>
      </c>
      <c r="F13" s="157">
        <v>44.75</v>
      </c>
    </row>
    <row r="14" spans="1:6" x14ac:dyDescent="0.25">
      <c r="A14" s="156">
        <v>44075</v>
      </c>
      <c r="B14" s="157">
        <v>34.200000000000003</v>
      </c>
      <c r="C14" s="157">
        <v>49.69</v>
      </c>
      <c r="D14" s="157">
        <v>47.94</v>
      </c>
      <c r="E14" s="157">
        <v>90</v>
      </c>
      <c r="F14" s="157">
        <v>43.38</v>
      </c>
    </row>
    <row r="15" spans="1:6" x14ac:dyDescent="0.25">
      <c r="A15" s="156">
        <v>44105</v>
      </c>
      <c r="B15" s="158">
        <v>33.909999999999997</v>
      </c>
      <c r="C15" s="157">
        <v>48.35</v>
      </c>
      <c r="D15" s="157">
        <v>44.35</v>
      </c>
      <c r="E15" s="157">
        <v>93</v>
      </c>
      <c r="F15" s="157">
        <v>42.4375</v>
      </c>
    </row>
    <row r="16" spans="1:6" x14ac:dyDescent="0.25">
      <c r="A16" s="156">
        <v>44136</v>
      </c>
      <c r="B16" s="158">
        <v>37.79</v>
      </c>
      <c r="C16" s="157">
        <v>54.4375</v>
      </c>
      <c r="D16" s="157">
        <v>49.5</v>
      </c>
      <c r="E16" s="157">
        <v>98.75</v>
      </c>
      <c r="F16" s="157">
        <v>42.524999999999999</v>
      </c>
    </row>
    <row r="17" spans="1:6" x14ac:dyDescent="0.25">
      <c r="A17" s="156">
        <v>44166</v>
      </c>
      <c r="B17" s="158">
        <v>40.85</v>
      </c>
      <c r="C17" s="157">
        <v>59.2</v>
      </c>
      <c r="D17" s="157">
        <v>51.65</v>
      </c>
      <c r="E17" s="157">
        <v>100</v>
      </c>
      <c r="F17" s="157">
        <v>41.725000000000001</v>
      </c>
    </row>
    <row r="18" spans="1:6" x14ac:dyDescent="0.25">
      <c r="A18" s="156">
        <v>44197</v>
      </c>
      <c r="B18" s="158">
        <v>44.31</v>
      </c>
      <c r="C18" s="157">
        <v>63.1875</v>
      </c>
      <c r="D18" s="157">
        <v>53.3125</v>
      </c>
      <c r="E18" s="157">
        <v>90</v>
      </c>
      <c r="F18" s="157">
        <v>43.337499999999999</v>
      </c>
    </row>
    <row r="19" spans="1:6" x14ac:dyDescent="0.25">
      <c r="A19" s="156">
        <v>44228</v>
      </c>
      <c r="B19" s="158">
        <v>48.37</v>
      </c>
      <c r="C19" s="157">
        <v>73.625</v>
      </c>
      <c r="D19" s="157">
        <v>58.9375</v>
      </c>
      <c r="E19" s="157">
        <v>93</v>
      </c>
      <c r="F19" s="157">
        <v>44.945</v>
      </c>
    </row>
    <row r="20" spans="1:6" x14ac:dyDescent="0.25">
      <c r="A20" s="156">
        <v>44256</v>
      </c>
      <c r="B20" s="158">
        <v>54</v>
      </c>
      <c r="C20" s="157">
        <v>86.9375</v>
      </c>
      <c r="D20" s="157">
        <v>71.3125</v>
      </c>
      <c r="E20" s="157">
        <v>105.25</v>
      </c>
      <c r="F20" s="157">
        <v>52.05</v>
      </c>
    </row>
    <row r="21" spans="1:6" x14ac:dyDescent="0.25">
      <c r="A21" s="156">
        <v>44287</v>
      </c>
      <c r="B21" s="158">
        <v>62.88</v>
      </c>
      <c r="C21" s="157">
        <v>92.65</v>
      </c>
      <c r="D21" s="157">
        <v>79.55</v>
      </c>
      <c r="E21" s="157">
        <v>109.2</v>
      </c>
      <c r="F21" s="157">
        <v>59.8125</v>
      </c>
    </row>
    <row r="22" spans="1:6" x14ac:dyDescent="0.25">
      <c r="A22" s="156">
        <v>44317</v>
      </c>
      <c r="B22" s="158">
        <v>74.75</v>
      </c>
      <c r="C22" s="157">
        <v>102.1875</v>
      </c>
      <c r="D22" s="157">
        <v>94.0625</v>
      </c>
      <c r="E22" s="157">
        <v>110</v>
      </c>
      <c r="F22" s="157">
        <v>68.25</v>
      </c>
    </row>
    <row r="23" spans="1:6" x14ac:dyDescent="0.25">
      <c r="A23" s="156">
        <v>44348</v>
      </c>
      <c r="B23" s="158">
        <v>74.75</v>
      </c>
      <c r="C23" s="157">
        <v>100.6875</v>
      </c>
      <c r="D23" s="157">
        <v>93.5</v>
      </c>
      <c r="E23" s="157">
        <v>108.1875</v>
      </c>
      <c r="F23" s="157">
        <v>67.599999999999994</v>
      </c>
    </row>
    <row r="24" spans="1:6" x14ac:dyDescent="0.25">
      <c r="A24" s="156">
        <v>44378</v>
      </c>
      <c r="B24" s="157">
        <v>72.930000000000007</v>
      </c>
      <c r="C24" s="157">
        <v>99.9</v>
      </c>
      <c r="D24" s="157">
        <v>92.3</v>
      </c>
      <c r="E24" s="157">
        <v>106</v>
      </c>
      <c r="F24" s="157">
        <v>66.094999999999999</v>
      </c>
    </row>
    <row r="25" spans="1:6" x14ac:dyDescent="0.25">
      <c r="A25" s="156">
        <v>44409</v>
      </c>
      <c r="B25" s="157">
        <v>70.010000000000005</v>
      </c>
      <c r="C25" s="157">
        <v>96.5</v>
      </c>
      <c r="D25" s="157">
        <v>81</v>
      </c>
      <c r="E25" s="157">
        <v>108.75</v>
      </c>
      <c r="F25" s="157">
        <v>64.156000000000006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711008381A4489560F302ED63725A" ma:contentTypeVersion="11" ma:contentTypeDescription="Create a new document." ma:contentTypeScope="" ma:versionID="887cff17742744b02a1c83dd32c3b354">
  <xsd:schema xmlns:xsd="http://www.w3.org/2001/XMLSchema" xmlns:xs="http://www.w3.org/2001/XMLSchema" xmlns:p="http://schemas.microsoft.com/office/2006/metadata/properties" xmlns:ns3="642c2d5b-b5cd-4c4f-95a0-231891633038" xmlns:ns4="9d29759f-fdc3-4b89-93e8-7a818e788e93" targetNamespace="http://schemas.microsoft.com/office/2006/metadata/properties" ma:root="true" ma:fieldsID="eca4ca4c91a3a67dac508b2f26fcc458" ns3:_="" ns4:_="">
    <xsd:import namespace="642c2d5b-b5cd-4c4f-95a0-231891633038"/>
    <xsd:import namespace="9d29759f-fdc3-4b89-93e8-7a818e788e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2d5b-b5cd-4c4f-95a0-2318916330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9759f-fdc3-4b89-93e8-7a818e788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D11575-6B8F-46EE-93E0-60356AADF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2d5b-b5cd-4c4f-95a0-231891633038"/>
    <ds:schemaRef ds:uri="9d29759f-fdc3-4b89-93e8-7a818e788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www.w3.org/XML/1998/namespace"/>
    <ds:schemaRef ds:uri="http://purl.org/dc/terms/"/>
    <ds:schemaRef ds:uri="642c2d5b-b5cd-4c4f-95a0-23189163303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d29759f-fdc3-4b89-93e8-7a818e788e9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Figure 1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Ates, Aaron - REE-ERS, Kansas City, MO</cp:lastModifiedBy>
  <cp:lastPrinted>2014-11-10T20:35:48Z</cp:lastPrinted>
  <dcterms:created xsi:type="dcterms:W3CDTF">2001-11-13T16:22:15Z</dcterms:created>
  <dcterms:modified xsi:type="dcterms:W3CDTF">2021-09-13T15:59:01Z</dcterms:modified>
  <cp:category>Oilseeds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0x010100509711008381A4489560F302ED63725A</vt:lpwstr>
  </property>
</Properties>
</file>