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MTEDopenteamandtrainingmaterials-OilCrops/Shared Documents/Oil Crops/2022/OCS-22E May 2022/"/>
    </mc:Choice>
  </mc:AlternateContent>
  <xr:revisionPtr revIDLastSave="634" documentId="8_{422AB601-8A7C-4398-A049-D2EB52B9C5F0}" xr6:coauthVersionLast="47" xr6:coauthVersionMax="47" xr10:uidLastSave="{9F62B098-7809-48EC-8AD1-DDE8AB2FCEC7}"/>
  <bookViews>
    <workbookView xWindow="-108" yWindow="-108" windowWidth="23256" windowHeight="12576" tabRatio="873" activeTab="6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72" r:id="rId9"/>
    <sheet name="Figure 2" sheetId="71" r:id="rId10"/>
    <sheet name="Figure 3" sheetId="74" r:id="rId11"/>
    <sheet name="Figure 4" sheetId="76" r:id="rId12"/>
    <sheet name="Figure 5" sheetId="75" r:id="rId13"/>
  </sheets>
  <definedNames>
    <definedName name="_xlnm.Print_Area" localSheetId="1">'Table 1'!$A$1:$N$41</definedName>
    <definedName name="_xlnm.Print_Area" localSheetId="7">'Table 10'!$A$1:$G$44</definedName>
    <definedName name="_xlnm.Print_Area" localSheetId="2">'Table 2'!$A$1:$J$33</definedName>
    <definedName name="_xlnm.Print_Area" localSheetId="3">'Table 3'!$A$1:$L$46</definedName>
    <definedName name="_xlnm.Print_Area" localSheetId="5">'Table 8'!$A$1:$G$42</definedName>
    <definedName name="_xlnm.Print_Area" localSheetId="6">'Table 9'!$A$1:$I$44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3" l="1"/>
  <c r="H46" i="3" s="1"/>
  <c r="N46" i="3" s="1"/>
  <c r="D46" i="3"/>
  <c r="I33" i="3"/>
  <c r="G33" i="3"/>
  <c r="E33" i="3"/>
  <c r="I21" i="3"/>
  <c r="E21" i="3"/>
  <c r="B33" i="3"/>
  <c r="B21" i="3"/>
  <c r="J8" i="3"/>
  <c r="E8" i="3"/>
  <c r="B8" i="3"/>
  <c r="K8" i="9"/>
  <c r="G8" i="9"/>
  <c r="I8" i="9" s="1"/>
  <c r="E8" i="9"/>
  <c r="B8" i="9"/>
  <c r="I8" i="2"/>
  <c r="B8" i="2"/>
  <c r="E8" i="2" s="1"/>
  <c r="M8" i="1"/>
  <c r="N6" i="1"/>
  <c r="K8" i="1"/>
  <c r="E8" i="1"/>
  <c r="H8" i="1" s="1"/>
  <c r="D8" i="1"/>
  <c r="E6" i="1"/>
  <c r="J31" i="9"/>
  <c r="D31" i="9"/>
  <c r="B31" i="9"/>
  <c r="H31" i="2"/>
  <c r="D31" i="2"/>
  <c r="B31" i="2"/>
  <c r="E31" i="2" s="1"/>
  <c r="I31" i="2" s="1"/>
  <c r="L38" i="1"/>
  <c r="J38" i="1"/>
  <c r="G38" i="1"/>
  <c r="E31" i="9" l="1"/>
  <c r="K31" i="9" s="1"/>
  <c r="G31" i="9" s="1"/>
  <c r="G31" i="2"/>
  <c r="D30" i="9"/>
  <c r="D29" i="9"/>
  <c r="D30" i="2"/>
  <c r="D29" i="2"/>
  <c r="G36" i="1"/>
  <c r="G35" i="1"/>
  <c r="L36" i="1"/>
  <c r="J36" i="1"/>
  <c r="J30" i="9"/>
  <c r="J29" i="9"/>
  <c r="H12" i="2"/>
  <c r="H30" i="2"/>
  <c r="H29" i="2"/>
  <c r="H28" i="2"/>
  <c r="H27" i="2"/>
  <c r="B30" i="9"/>
  <c r="B30" i="2"/>
  <c r="L35" i="1"/>
  <c r="L32" i="1"/>
  <c r="E37" i="1"/>
  <c r="E30" i="9" l="1"/>
  <c r="K30" i="9" s="1"/>
  <c r="G30" i="9" s="1"/>
  <c r="I30" i="9" s="1"/>
  <c r="E30" i="2"/>
  <c r="I30" i="2" s="1"/>
  <c r="G30" i="2" s="1"/>
  <c r="J35" i="1" l="1"/>
  <c r="B29" i="9"/>
  <c r="E29" i="9" s="1"/>
  <c r="K29" i="9" s="1"/>
  <c r="G29" i="9" s="1"/>
  <c r="I29" i="9" s="1"/>
  <c r="B29" i="2"/>
  <c r="E29" i="2" s="1"/>
  <c r="I29" i="2" s="1"/>
  <c r="G29" i="2" s="1"/>
  <c r="J28" i="9"/>
  <c r="D28" i="9"/>
  <c r="D28" i="2"/>
  <c r="L34" i="1"/>
  <c r="L37" i="1" s="1"/>
  <c r="G34" i="1"/>
  <c r="G37" i="1" s="1"/>
  <c r="H37" i="1" s="1"/>
  <c r="M37" i="1" s="1"/>
  <c r="J34" i="1"/>
  <c r="J32" i="1"/>
  <c r="J37" i="1" l="1"/>
  <c r="K37" i="1" s="1"/>
  <c r="B28" i="9"/>
  <c r="E28" i="9" s="1"/>
  <c r="K28" i="9" s="1"/>
  <c r="G28" i="9" s="1"/>
  <c r="I28" i="9" s="1"/>
  <c r="B28" i="2"/>
  <c r="E28" i="2" s="1"/>
  <c r="I28" i="2" s="1"/>
  <c r="G28" i="2" s="1"/>
  <c r="L16" i="1"/>
  <c r="J27" i="9" l="1"/>
  <c r="D27" i="9"/>
  <c r="D27" i="2"/>
  <c r="G32" i="1"/>
  <c r="B27" i="9"/>
  <c r="B27" i="2"/>
  <c r="E27" i="9" l="1"/>
  <c r="K27" i="9" s="1"/>
  <c r="G27" i="9" s="1"/>
  <c r="I27" i="9" s="1"/>
  <c r="E27" i="2"/>
  <c r="I27" i="2" s="1"/>
  <c r="G27" i="2" s="1"/>
  <c r="J26" i="9"/>
  <c r="D26" i="9"/>
  <c r="H26" i="2"/>
  <c r="D26" i="2"/>
  <c r="L31" i="1"/>
  <c r="G31" i="1"/>
  <c r="J31" i="1" l="1"/>
  <c r="E33" i="1" l="1"/>
  <c r="B26" i="9"/>
  <c r="E26" i="9" s="1"/>
  <c r="K26" i="9" s="1"/>
  <c r="G26" i="9" s="1"/>
  <c r="I26" i="9" s="1"/>
  <c r="B26" i="2"/>
  <c r="E26" i="2" s="1"/>
  <c r="I26" i="2" s="1"/>
  <c r="G26" i="2" s="1"/>
  <c r="B20" i="3" l="1"/>
  <c r="D20" i="9" l="1"/>
  <c r="D17" i="9"/>
  <c r="D16" i="9"/>
  <c r="D15" i="9"/>
  <c r="D14" i="9"/>
  <c r="D13" i="9"/>
  <c r="D12" i="9"/>
  <c r="D11" i="9"/>
  <c r="J22" i="9"/>
  <c r="D22" i="9"/>
  <c r="H22" i="2"/>
  <c r="D22" i="2"/>
  <c r="L30" i="1"/>
  <c r="L33" i="1" s="1"/>
  <c r="L39" i="1" s="1"/>
  <c r="G30" i="1"/>
  <c r="G33" i="1" s="1"/>
  <c r="G39" i="1" s="1"/>
  <c r="H33" i="1" l="1"/>
  <c r="M33" i="1" s="1"/>
  <c r="J30" i="1"/>
  <c r="J33" i="1" s="1"/>
  <c r="J39" i="1" s="1"/>
  <c r="K33" i="1" l="1"/>
  <c r="L6" i="9"/>
  <c r="H23" i="9"/>
  <c r="H6" i="9" s="1"/>
  <c r="C23" i="9"/>
  <c r="C6" i="9" s="1"/>
  <c r="B22" i="9"/>
  <c r="E22" i="9" s="1"/>
  <c r="K22" i="9" s="1"/>
  <c r="G22" i="9" s="1"/>
  <c r="I22" i="9" s="1"/>
  <c r="J6" i="2"/>
  <c r="C23" i="2"/>
  <c r="C6" i="2" s="1"/>
  <c r="B22" i="2"/>
  <c r="E22" i="2" s="1"/>
  <c r="I22" i="2" s="1"/>
  <c r="G22" i="2" s="1"/>
  <c r="J21" i="9"/>
  <c r="D21" i="9"/>
  <c r="H21" i="2"/>
  <c r="D21" i="2"/>
  <c r="L25" i="1"/>
  <c r="G25" i="1"/>
  <c r="J25" i="1" l="1"/>
  <c r="J24" i="1"/>
  <c r="B21" i="9" l="1"/>
  <c r="E21" i="9" s="1"/>
  <c r="K21" i="9" s="1"/>
  <c r="G21" i="9" s="1"/>
  <c r="I21" i="9" s="1"/>
  <c r="B21" i="2"/>
  <c r="E21" i="2" s="1"/>
  <c r="I21" i="2" s="1"/>
  <c r="G21" i="2" s="1"/>
  <c r="E26" i="1"/>
  <c r="J20" i="9" l="1"/>
  <c r="B20" i="9"/>
  <c r="E20" i="9" s="1"/>
  <c r="K20" i="9" s="1"/>
  <c r="H20" i="2"/>
  <c r="D20" i="2"/>
  <c r="B20" i="2"/>
  <c r="E20" i="2" s="1"/>
  <c r="I20" i="2" s="1"/>
  <c r="L24" i="1"/>
  <c r="G24" i="1"/>
  <c r="G20" i="9" l="1"/>
  <c r="G20" i="2"/>
  <c r="I20" i="9" l="1"/>
  <c r="D45" i="3"/>
  <c r="B7" i="9"/>
  <c r="D7" i="1"/>
  <c r="J19" i="9"/>
  <c r="D19" i="9"/>
  <c r="H19" i="2"/>
  <c r="D19" i="2"/>
  <c r="E19" i="2" s="1"/>
  <c r="I19" i="2" s="1"/>
  <c r="G19" i="2" s="1"/>
  <c r="L23" i="1"/>
  <c r="L26" i="1" s="1"/>
  <c r="G23" i="1"/>
  <c r="G26" i="1" s="1"/>
  <c r="H26" i="1" s="1"/>
  <c r="M26" i="1" s="1"/>
  <c r="B19" i="9"/>
  <c r="B19" i="2"/>
  <c r="J23" i="1"/>
  <c r="J26" i="1" s="1"/>
  <c r="E19" i="9" l="1"/>
  <c r="K19" i="9" s="1"/>
  <c r="K26" i="1"/>
  <c r="G19" i="9"/>
  <c r="J18" i="9"/>
  <c r="J17" i="9"/>
  <c r="J16" i="9"/>
  <c r="J15" i="9"/>
  <c r="J14" i="9"/>
  <c r="J13" i="9"/>
  <c r="J12" i="9"/>
  <c r="J11" i="9"/>
  <c r="D18" i="9"/>
  <c r="D23" i="9" s="1"/>
  <c r="D6" i="9" s="1"/>
  <c r="J23" i="9" l="1"/>
  <c r="J6" i="9" s="1"/>
  <c r="I19" i="9"/>
  <c r="H18" i="2"/>
  <c r="H17" i="2"/>
  <c r="H16" i="2"/>
  <c r="H15" i="2"/>
  <c r="H14" i="2"/>
  <c r="H13" i="2"/>
  <c r="H11" i="2"/>
  <c r="D18" i="2"/>
  <c r="D17" i="2"/>
  <c r="D16" i="2"/>
  <c r="D15" i="2"/>
  <c r="D14" i="2"/>
  <c r="D13" i="2"/>
  <c r="D12" i="2"/>
  <c r="D11" i="2"/>
  <c r="H23" i="2" l="1"/>
  <c r="H6" i="2" s="1"/>
  <c r="D23" i="2"/>
  <c r="D6" i="2" s="1"/>
  <c r="L21" i="1"/>
  <c r="L20" i="1"/>
  <c r="L19" i="1"/>
  <c r="L17" i="1"/>
  <c r="L15" i="1"/>
  <c r="L13" i="1"/>
  <c r="L12" i="1"/>
  <c r="L11" i="1"/>
  <c r="G21" i="1"/>
  <c r="G20" i="1"/>
  <c r="G19" i="1"/>
  <c r="G17" i="1"/>
  <c r="G16" i="1"/>
  <c r="G15" i="1"/>
  <c r="G13" i="1"/>
  <c r="G12" i="1"/>
  <c r="G11" i="1"/>
  <c r="J21" i="1"/>
  <c r="J20" i="1"/>
  <c r="J19" i="1"/>
  <c r="J17" i="1"/>
  <c r="J16" i="1"/>
  <c r="J15" i="1"/>
  <c r="J13" i="1"/>
  <c r="J12" i="1"/>
  <c r="J11" i="1"/>
  <c r="B18" i="9" l="1"/>
  <c r="B18" i="2"/>
  <c r="E18" i="2" s="1"/>
  <c r="E22" i="1"/>
  <c r="G22" i="1"/>
  <c r="H22" i="1" l="1"/>
  <c r="M22" i="1" s="1"/>
  <c r="E18" i="9"/>
  <c r="K18" i="9" s="1"/>
  <c r="G18" i="9" s="1"/>
  <c r="I18" i="2"/>
  <c r="G18" i="2" s="1"/>
  <c r="B34" i="9"/>
  <c r="I18" i="9" l="1"/>
  <c r="I20" i="3"/>
  <c r="I19" i="3"/>
  <c r="B7" i="2" l="1"/>
  <c r="L22" i="1" l="1"/>
  <c r="B17" i="9" l="1"/>
  <c r="E17" i="9" s="1"/>
  <c r="J22" i="1"/>
  <c r="K22" i="1" s="1"/>
  <c r="B17" i="2"/>
  <c r="E17" i="2" s="1"/>
  <c r="K17" i="9" l="1"/>
  <c r="G17" i="9" s="1"/>
  <c r="I17" i="9" s="1"/>
  <c r="I17" i="2"/>
  <c r="G17" i="2" l="1"/>
  <c r="A16" i="10" l="1"/>
  <c r="B16" i="9" l="1"/>
  <c r="E16" i="9" s="1"/>
  <c r="K16" i="9" s="1"/>
  <c r="G16" i="9" s="1"/>
  <c r="I16" i="9" s="1"/>
  <c r="B16" i="2"/>
  <c r="E16" i="2" s="1"/>
  <c r="E7" i="2"/>
  <c r="E7" i="9"/>
  <c r="K7" i="9" s="1"/>
  <c r="G7" i="9" s="1"/>
  <c r="I7" i="9" s="1"/>
  <c r="I7" i="2" l="1"/>
  <c r="I16" i="2"/>
  <c r="G16" i="2" s="1"/>
  <c r="B7" i="3"/>
  <c r="E7" i="3" s="1"/>
  <c r="E20" i="3"/>
  <c r="B32" i="3"/>
  <c r="E45" i="3"/>
  <c r="H45" i="3" s="1"/>
  <c r="D44" i="3"/>
  <c r="N45" i="3" l="1"/>
  <c r="E32" i="3"/>
  <c r="I32" i="3" s="1"/>
  <c r="G32" i="3" s="1"/>
  <c r="B15" i="2"/>
  <c r="E18" i="1"/>
  <c r="E15" i="2" l="1"/>
  <c r="I15" i="2" l="1"/>
  <c r="G15" i="2" s="1"/>
  <c r="E19" i="3"/>
  <c r="B15" i="9"/>
  <c r="E15" i="9" s="1"/>
  <c r="K15" i="9" s="1"/>
  <c r="G15" i="9" s="1"/>
  <c r="I15" i="9" s="1"/>
  <c r="B45" i="5" l="1"/>
  <c r="L18" i="1" l="1"/>
  <c r="G18" i="1"/>
  <c r="H18" i="1" s="1"/>
  <c r="M18" i="1" s="1"/>
  <c r="B14" i="2" l="1"/>
  <c r="E14" i="2" s="1"/>
  <c r="B14" i="9"/>
  <c r="E14" i="9" s="1"/>
  <c r="K14" i="9" s="1"/>
  <c r="G14" i="9" s="1"/>
  <c r="I14" i="9" s="1"/>
  <c r="J18" i="1"/>
  <c r="F27" i="1"/>
  <c r="F6" i="1" s="1"/>
  <c r="I14" i="2" l="1"/>
  <c r="K18" i="1"/>
  <c r="G14" i="2" l="1"/>
  <c r="B13" i="9" l="1"/>
  <c r="E13" i="9" s="1"/>
  <c r="K13" i="9" s="1"/>
  <c r="G13" i="9" s="1"/>
  <c r="I13" i="9" s="1"/>
  <c r="B13" i="2" l="1"/>
  <c r="E13" i="2" s="1"/>
  <c r="I13" i="2" l="1"/>
  <c r="G13" i="2" s="1"/>
  <c r="L14" i="1"/>
  <c r="L27" i="1" s="1"/>
  <c r="L6" i="1" s="1"/>
  <c r="B12" i="9" l="1"/>
  <c r="E12" i="9" s="1"/>
  <c r="K12" i="9" s="1"/>
  <c r="G12" i="9" s="1"/>
  <c r="I12" i="9" s="1"/>
  <c r="B12" i="2"/>
  <c r="E12" i="2" s="1"/>
  <c r="I12" i="2" l="1"/>
  <c r="G12" i="2" s="1"/>
  <c r="J14" i="1"/>
  <c r="J27" i="1" s="1"/>
  <c r="J6" i="1" s="1"/>
  <c r="E23" i="2"/>
  <c r="E6" i="2" s="1"/>
  <c r="G14" i="1" l="1"/>
  <c r="G27" i="1" s="1"/>
  <c r="G6" i="1" s="1"/>
  <c r="E23" i="9" l="1"/>
  <c r="E6" i="9" s="1"/>
  <c r="K6" i="9" s="1"/>
  <c r="H44" i="3" l="1"/>
  <c r="E31" i="3"/>
  <c r="E6" i="3"/>
  <c r="J6" i="3" s="1"/>
  <c r="N44" i="3" l="1"/>
  <c r="I31" i="3"/>
  <c r="G31" i="3" s="1"/>
  <c r="D6" i="1" l="1"/>
  <c r="B50" i="3" l="1"/>
  <c r="E11" i="9" l="1"/>
  <c r="E11" i="2"/>
  <c r="B42" i="1"/>
  <c r="K11" i="9" l="1"/>
  <c r="I11" i="2"/>
  <c r="I23" i="2" s="1"/>
  <c r="I6" i="2" s="1"/>
  <c r="G11" i="2"/>
  <c r="G23" i="2" s="1"/>
  <c r="G6" i="2" s="1"/>
  <c r="K23" i="9" l="1"/>
  <c r="G11" i="9"/>
  <c r="B46" i="6"/>
  <c r="B44" i="4"/>
  <c r="B34" i="2"/>
  <c r="I11" i="9" l="1"/>
  <c r="I23" i="9" s="1"/>
  <c r="I6" i="9" s="1"/>
  <c r="G23" i="9"/>
  <c r="G6" i="9" s="1"/>
  <c r="J7" i="3" l="1"/>
  <c r="H6" i="1" l="1"/>
  <c r="M6" i="1" s="1"/>
  <c r="K6" i="1" s="1"/>
  <c r="H14" i="1"/>
  <c r="M14" i="1" s="1"/>
  <c r="H27" i="1" l="1"/>
  <c r="M27" i="1"/>
  <c r="K14" i="1"/>
  <c r="K27" i="1" s="1"/>
  <c r="E7" i="1" s="1"/>
  <c r="H7" i="1" s="1"/>
  <c r="M7" i="1" s="1"/>
  <c r="K7" i="1" s="1"/>
</calcChain>
</file>

<file path=xl/sharedStrings.xml><?xml version="1.0" encoding="utf-8"?>
<sst xmlns="http://schemas.openxmlformats.org/spreadsheetml/2006/main" count="561" uniqueCount="179">
  <si>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</si>
  <si>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</si>
  <si>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</si>
  <si>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</si>
  <si>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</si>
  <si>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</si>
  <si>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</si>
  <si>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</si>
  <si>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</si>
  <si>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</si>
  <si>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</si>
  <si>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</si>
  <si>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</si>
  <si>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</si>
  <si>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</si>
  <si>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</si>
  <si>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</si>
  <si>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</si>
  <si>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</si>
  <si>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</si>
  <si>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</si>
  <si>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</si>
  <si>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</si>
  <si>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</si>
  <si>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</si>
  <si>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</si>
  <si>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</si>
  <si>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</si>
  <si>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</si>
  <si>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</si>
  <si>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</si>
  <si>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</si>
  <si>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</si>
  <si>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</si>
  <si>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2019/20</t>
  </si>
  <si>
    <t>2020/21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</si>
  <si>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</si>
  <si>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</si>
  <si>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</si>
  <si>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</si>
  <si>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</si>
  <si>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</si>
  <si>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</si>
  <si>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</si>
  <si>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</si>
  <si>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</si>
  <si>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</si>
  <si>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</si>
  <si>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</si>
  <si>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</si>
  <si>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</si>
  <si>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</si>
  <si>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2021/22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</si>
  <si>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</si>
  <si>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</si>
  <si>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</si>
  <si>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</si>
  <si>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</si>
  <si>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</si>
  <si>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</si>
  <si>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</si>
  <si>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</si>
  <si>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</si>
  <si>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</si>
  <si>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</si>
  <si>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</si>
  <si>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NA = Not available. 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</si>
  <si>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</si>
  <si>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</si>
  <si>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</si>
  <si>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</si>
  <si>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</si>
  <si>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</si>
  <si>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</si>
  <si>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</si>
  <si>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</si>
  <si>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</si>
  <si>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</si>
  <si>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</si>
  <si>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</si>
  <si>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</si>
  <si>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</si>
  <si>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</si>
  <si>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</si>
  <si>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</si>
  <si>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</si>
  <si>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</si>
  <si>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</si>
  <si>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Distribution.</t>
    </r>
  </si>
  <si>
    <t>Million Pounds</t>
  </si>
  <si>
    <t xml:space="preserve">food </t>
  </si>
  <si>
    <t>1,000 acres</t>
  </si>
  <si>
    <t>Pounds/acre</t>
  </si>
  <si>
    <t xml:space="preserve">      Million pounds</t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</si>
  <si>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</si>
  <si>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</si>
  <si>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</si>
  <si>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</si>
  <si>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</si>
  <si>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</si>
  <si>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</si>
  <si>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</si>
  <si>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</si>
  <si>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</si>
  <si>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</si>
  <si>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</si>
  <si>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</si>
  <si>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</si>
  <si>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</si>
  <si>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</si>
  <si>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</si>
  <si>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</si>
  <si>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</si>
  <si>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</si>
  <si>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</si>
  <si>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</si>
  <si>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r>
      <t>2021/22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</si>
  <si>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</si>
  <si>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</si>
  <si>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</si>
  <si>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</si>
  <si>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</si>
  <si>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</si>
  <si>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</si>
  <si>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</si>
  <si>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</si>
  <si>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</si>
  <si>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</si>
  <si>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</si>
  <si>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</si>
  <si>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</si>
  <si>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</si>
  <si>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</si>
  <si>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2021/22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</si>
  <si>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</si>
  <si>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</si>
  <si>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</si>
  <si>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</si>
  <si>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</si>
  <si>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</si>
  <si>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</si>
  <si>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</si>
  <si>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</si>
  <si>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</si>
  <si>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</si>
  <si>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</si>
  <si>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</si>
  <si>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</si>
  <si>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</si>
  <si>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</si>
  <si>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</si>
  <si>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2022/23*</t>
  </si>
  <si>
    <t>Production Marketing year</t>
  </si>
  <si>
    <t>Sunflower</t>
  </si>
  <si>
    <t>Crush Volume</t>
  </si>
  <si>
    <t>2021/22*</t>
  </si>
  <si>
    <t>Soybean</t>
  </si>
  <si>
    <t>Rapeseed</t>
  </si>
  <si>
    <t>Sunflowerseed</t>
  </si>
  <si>
    <t>Peanut</t>
  </si>
  <si>
    <t>Sunflower oil</t>
  </si>
  <si>
    <t xml:space="preserve">Soybean oil </t>
  </si>
  <si>
    <t xml:space="preserve">Canola oil </t>
  </si>
  <si>
    <t xml:space="preserve">Palm oil </t>
  </si>
  <si>
    <t>2016/2017</t>
  </si>
  <si>
    <t>2017/2018</t>
  </si>
  <si>
    <t>2018/2019</t>
  </si>
  <si>
    <t>2019/2020</t>
  </si>
  <si>
    <t>2020/2021</t>
  </si>
  <si>
    <t>2021/2022*</t>
  </si>
  <si>
    <t>2022/2023*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</si>
  <si>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</si>
  <si>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</si>
  <si>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r>
      <t>2022/23</t>
    </r>
    <r>
      <rPr>
        <vertAlign val="superscript"/>
        <sz val="11"/>
        <rFont val="Arial"/>
        <family val="2"/>
      </rPr>
      <t>4</t>
    </r>
  </si>
  <si>
    <r>
      <t>2022/23</t>
    </r>
    <r>
      <rPr>
        <vertAlign val="superscript"/>
        <sz val="11"/>
        <rFont val="Arial"/>
        <family val="2"/>
      </rPr>
      <t>7</t>
    </r>
  </si>
  <si>
    <t>Other</t>
  </si>
  <si>
    <t>Other oils</t>
  </si>
  <si>
    <t>Ending stocks, October 1</t>
  </si>
  <si>
    <t xml:space="preserve">Total crush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</si>
</sst>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#,##0.000"/>
    <numFmt numFmtId="173" formatCode="#,##0.00_)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0"/>
      <name val="Courier New"/>
      <family val="3"/>
    </font>
    <font>
      <u/>
      <sz val="11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Helvetica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3" fillId="0" borderId="0"/>
    <xf numFmtId="0" fontId="8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</cellStyleXfs>
  <cellXfs count="171">
    <xf numFmtId="0" fontId="0" fillId="0" borderId="0" xfId="0"/>
    <xf numFmtId="0" fontId="10" fillId="0" borderId="0" xfId="8" applyFont="1"/>
    <xf numFmtId="0" fontId="11" fillId="0" borderId="0" xfId="8" applyFont="1"/>
    <xf numFmtId="0" fontId="16" fillId="0" borderId="0" xfId="8" applyFont="1" applyFill="1"/>
    <xf numFmtId="0" fontId="17" fillId="0" borderId="0" xfId="8" applyFont="1"/>
    <xf numFmtId="169" fontId="18" fillId="0" borderId="0" xfId="1" applyNumberFormat="1" applyFont="1" applyFill="1" applyAlignment="1">
      <alignment horizontal="right" indent="1"/>
    </xf>
    <xf numFmtId="169" fontId="18" fillId="0" borderId="0" xfId="1" applyNumberFormat="1" applyFont="1" applyFill="1" applyBorder="1" applyAlignment="1">
      <alignment horizontal="center"/>
    </xf>
    <xf numFmtId="169" fontId="18" fillId="0" borderId="0" xfId="1" applyNumberFormat="1" applyFont="1" applyFill="1" applyBorder="1" applyAlignment="1">
      <alignment horizontal="right" indent="1"/>
    </xf>
    <xf numFmtId="0" fontId="24" fillId="0" borderId="0" xfId="7" applyFont="1" applyAlignment="1">
      <alignment horizontal="left"/>
    </xf>
    <xf numFmtId="0" fontId="26" fillId="0" borderId="0" xfId="5" applyFont="1" applyAlignment="1" applyProtection="1"/>
    <xf numFmtId="14" fontId="24" fillId="0" borderId="0" xfId="7" applyNumberFormat="1" applyFont="1" applyAlignment="1">
      <alignment horizontal="left"/>
    </xf>
    <xf numFmtId="0" fontId="26" fillId="0" borderId="0" xfId="4" applyFont="1" applyAlignment="1" applyProtection="1"/>
    <xf numFmtId="0" fontId="18" fillId="0" borderId="0" xfId="7" quotePrefix="1" applyFont="1" applyAlignment="1">
      <alignment horizontal="left"/>
    </xf>
    <xf numFmtId="0" fontId="18" fillId="0" borderId="0" xfId="8" applyFont="1" applyBorder="1" applyAlignment="1">
      <alignment wrapText="1"/>
    </xf>
    <xf numFmtId="169" fontId="18" fillId="0" borderId="0" xfId="1" applyNumberFormat="1" applyFont="1" applyFill="1" applyBorder="1" applyAlignment="1">
      <alignment horizontal="right"/>
    </xf>
    <xf numFmtId="169" fontId="18" fillId="0" borderId="0" xfId="0" applyNumberFormat="1" applyFont="1" applyFill="1"/>
    <xf numFmtId="2" fontId="18" fillId="0" borderId="1" xfId="0" applyNumberFormat="1" applyFont="1" applyFill="1" applyBorder="1" applyAlignment="1">
      <alignment horizontal="right" indent="2"/>
    </xf>
    <xf numFmtId="0" fontId="18" fillId="0" borderId="1" xfId="0" applyFont="1" applyFill="1" applyBorder="1"/>
    <xf numFmtId="0" fontId="0" fillId="0" borderId="0" xfId="0" applyFill="1"/>
    <xf numFmtId="0" fontId="18" fillId="0" borderId="0" xfId="0" applyFont="1" applyFill="1"/>
    <xf numFmtId="0" fontId="18" fillId="0" borderId="2" xfId="0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0" fillId="0" borderId="2" xfId="0" applyFill="1" applyBorder="1"/>
    <xf numFmtId="0" fontId="18" fillId="0" borderId="0" xfId="0" applyFont="1" applyFill="1" applyBorder="1"/>
    <xf numFmtId="0" fontId="18" fillId="0" borderId="2" xfId="0" applyFont="1" applyFill="1" applyBorder="1" applyAlignment="1">
      <alignment horizontal="left"/>
    </xf>
    <xf numFmtId="0" fontId="18" fillId="0" borderId="0" xfId="0" applyFont="1" applyFill="1" applyAlignment="1">
      <alignment horizontal="right"/>
    </xf>
    <xf numFmtId="16" fontId="18" fillId="0" borderId="1" xfId="0" quotePrefix="1" applyNumberFormat="1" applyFont="1" applyFill="1" applyBorder="1"/>
    <xf numFmtId="16" fontId="18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19" fillId="0" borderId="3" xfId="0" quotePrefix="1" applyFont="1" applyFill="1" applyBorder="1" applyAlignment="1">
      <alignment horizontal="center"/>
    </xf>
    <xf numFmtId="0" fontId="19" fillId="0" borderId="0" xfId="0" quotePrefix="1" applyFont="1" applyFill="1" applyAlignment="1">
      <alignment horizontal="right"/>
    </xf>
    <xf numFmtId="167" fontId="18" fillId="0" borderId="0" xfId="0" applyNumberFormat="1" applyFont="1" applyFill="1" applyAlignment="1">
      <alignment horizontal="center"/>
    </xf>
    <xf numFmtId="165" fontId="18" fillId="0" borderId="0" xfId="1" applyNumberFormat="1" applyFont="1" applyFill="1" applyAlignment="1">
      <alignment horizontal="left"/>
    </xf>
    <xf numFmtId="165" fontId="18" fillId="0" borderId="0" xfId="1" applyNumberFormat="1" applyFont="1" applyFill="1" applyAlignment="1">
      <alignment horizontal="center"/>
    </xf>
    <xf numFmtId="3" fontId="18" fillId="0" borderId="0" xfId="1" applyNumberFormat="1" applyFont="1" applyFill="1" applyBorder="1" applyAlignment="1">
      <alignment horizontal="right" indent="1"/>
    </xf>
    <xf numFmtId="164" fontId="18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24" fillId="0" borderId="0" xfId="0" applyFont="1" applyFill="1"/>
    <xf numFmtId="169" fontId="18" fillId="0" borderId="0" xfId="1" quotePrefix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center"/>
    </xf>
    <xf numFmtId="164" fontId="18" fillId="0" borderId="0" xfId="1" quotePrefix="1" applyNumberFormat="1" applyFont="1" applyFill="1" applyBorder="1" applyAlignment="1">
      <alignment horizontal="center"/>
    </xf>
    <xf numFmtId="169" fontId="18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18" fillId="0" borderId="0" xfId="0" applyNumberFormat="1" applyFont="1" applyFill="1"/>
    <xf numFmtId="169" fontId="18" fillId="0" borderId="1" xfId="1" applyNumberFormat="1" applyFont="1" applyFill="1" applyBorder="1" applyAlignment="1">
      <alignment horizontal="right" indent="1"/>
    </xf>
    <xf numFmtId="164" fontId="18" fillId="0" borderId="0" xfId="1" applyNumberFormat="1" applyFont="1" applyFill="1"/>
    <xf numFmtId="14" fontId="18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18" fillId="0" borderId="0" xfId="1" applyNumberFormat="1" applyFont="1" applyFill="1" applyAlignment="1">
      <alignment horizontal="right" indent="2"/>
    </xf>
    <xf numFmtId="3" fontId="18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Alignment="1">
      <alignment horizontal="center"/>
    </xf>
    <xf numFmtId="0" fontId="24" fillId="0" borderId="0" xfId="0" applyFont="1" applyFill="1" applyBorder="1"/>
    <xf numFmtId="169" fontId="18" fillId="0" borderId="0" xfId="1" applyNumberFormat="1" applyFont="1" applyFill="1" applyBorder="1" applyAlignment="1">
      <alignment horizontal="right" indent="2"/>
    </xf>
    <xf numFmtId="169" fontId="18" fillId="0" borderId="1" xfId="1" applyNumberFormat="1" applyFont="1" applyFill="1" applyBorder="1" applyAlignment="1">
      <alignment horizontal="right" indent="2"/>
    </xf>
    <xf numFmtId="0" fontId="20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18" fillId="0" borderId="0" xfId="0" applyNumberFormat="1" applyFont="1" applyFill="1" applyBorder="1"/>
    <xf numFmtId="169" fontId="18" fillId="0" borderId="1" xfId="1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/>
    </xf>
    <xf numFmtId="16" fontId="18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right" indent="2"/>
    </xf>
    <xf numFmtId="170" fontId="18" fillId="0" borderId="0" xfId="0" applyNumberFormat="1" applyFont="1" applyFill="1" applyBorder="1"/>
    <xf numFmtId="43" fontId="18" fillId="0" borderId="0" xfId="1" quotePrefix="1" applyNumberFormat="1" applyFont="1" applyFill="1" applyBorder="1" applyAlignment="1">
      <alignment horizontal="center"/>
    </xf>
    <xf numFmtId="166" fontId="18" fillId="0" borderId="0" xfId="1" quotePrefix="1" applyNumberFormat="1" applyFont="1" applyFill="1" applyBorder="1" applyAlignment="1">
      <alignment horizontal="center"/>
    </xf>
    <xf numFmtId="43" fontId="18" fillId="0" borderId="0" xfId="1" quotePrefix="1" applyFont="1" applyFill="1" applyBorder="1" applyAlignment="1">
      <alignment horizontal="center"/>
    </xf>
    <xf numFmtId="43" fontId="18" fillId="0" borderId="0" xfId="1" applyNumberFormat="1" applyFont="1" applyFill="1" applyBorder="1" applyAlignment="1">
      <alignment horizontal="center"/>
    </xf>
    <xf numFmtId="0" fontId="24" fillId="0" borderId="0" xfId="0" quotePrefix="1" applyFont="1" applyFill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indent="1"/>
    </xf>
    <xf numFmtId="0" fontId="18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9" fillId="0" borderId="3" xfId="0" quotePrefix="1" applyFont="1" applyFill="1" applyBorder="1" applyAlignment="1"/>
    <xf numFmtId="0" fontId="19" fillId="0" borderId="3" xfId="0" applyFont="1" applyFill="1" applyBorder="1" applyAlignment="1"/>
    <xf numFmtId="43" fontId="18" fillId="0" borderId="0" xfId="1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43" fontId="18" fillId="0" borderId="0" xfId="0" applyNumberFormat="1" applyFont="1" applyFill="1"/>
    <xf numFmtId="0" fontId="13" fillId="0" borderId="0" xfId="0" applyFont="1" applyFill="1"/>
    <xf numFmtId="2" fontId="0" fillId="0" borderId="0" xfId="0" applyNumberFormat="1" applyFill="1"/>
    <xf numFmtId="165" fontId="18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18" fillId="0" borderId="0" xfId="1" applyFont="1" applyFill="1" applyBorder="1" applyAlignment="1">
      <alignment horizontal="center"/>
    </xf>
    <xf numFmtId="43" fontId="0" fillId="0" borderId="0" xfId="1" applyFont="1" applyFill="1"/>
    <xf numFmtId="43" fontId="9" fillId="0" borderId="0" xfId="1" applyFont="1" applyFill="1"/>
    <xf numFmtId="0" fontId="22" fillId="0" borderId="0" xfId="0" applyFont="1" applyFill="1" applyAlignment="1">
      <alignment vertical="center"/>
    </xf>
    <xf numFmtId="168" fontId="0" fillId="0" borderId="0" xfId="0" applyNumberFormat="1" applyFill="1"/>
    <xf numFmtId="0" fontId="25" fillId="0" borderId="0" xfId="0" applyFont="1" applyFill="1"/>
    <xf numFmtId="168" fontId="18" fillId="0" borderId="0" xfId="0" applyNumberFormat="1" applyFont="1" applyFill="1"/>
    <xf numFmtId="2" fontId="18" fillId="0" borderId="0" xfId="0" applyNumberFormat="1" applyFont="1" applyFill="1"/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0" applyNumberFormat="1" applyFill="1"/>
    <xf numFmtId="0" fontId="18" fillId="0" borderId="3" xfId="0" applyFont="1" applyFill="1" applyBorder="1"/>
    <xf numFmtId="0" fontId="18" fillId="0" borderId="0" xfId="0" applyFont="1" applyFill="1" applyBorder="1" applyAlignment="1">
      <alignment horizontal="right"/>
    </xf>
    <xf numFmtId="165" fontId="18" fillId="0" borderId="0" xfId="1" applyNumberFormat="1" applyFont="1" applyFill="1"/>
    <xf numFmtId="37" fontId="18" fillId="0" borderId="0" xfId="1" applyNumberFormat="1" applyFont="1" applyFill="1" applyBorder="1" applyAlignment="1">
      <alignment horizontal="center"/>
    </xf>
    <xf numFmtId="37" fontId="18" fillId="0" borderId="0" xfId="1" applyNumberFormat="1" applyFont="1" applyFill="1" applyBorder="1" applyAlignment="1">
      <alignment horizontal="right" indent="2"/>
    </xf>
    <xf numFmtId="165" fontId="18" fillId="0" borderId="0" xfId="1" applyNumberFormat="1" applyFont="1" applyFill="1" applyBorder="1"/>
    <xf numFmtId="37" fontId="18" fillId="0" borderId="0" xfId="1" applyNumberFormat="1" applyFont="1" applyFill="1" applyBorder="1" applyAlignment="1">
      <alignment horizontal="right" indent="1"/>
    </xf>
    <xf numFmtId="37" fontId="18" fillId="0" borderId="1" xfId="1" applyNumberFormat="1" applyFont="1" applyFill="1" applyBorder="1" applyAlignment="1">
      <alignment horizontal="center"/>
    </xf>
    <xf numFmtId="37" fontId="18" fillId="0" borderId="1" xfId="1" applyNumberFormat="1" applyFont="1" applyFill="1" applyBorder="1" applyAlignment="1">
      <alignment horizontal="right" indent="2"/>
    </xf>
    <xf numFmtId="165" fontId="18" fillId="0" borderId="1" xfId="1" applyNumberFormat="1" applyFont="1" applyFill="1" applyBorder="1"/>
    <xf numFmtId="37" fontId="18" fillId="0" borderId="1" xfId="1" applyNumberFormat="1" applyFont="1" applyFill="1" applyBorder="1" applyAlignment="1">
      <alignment horizontal="right" indent="1"/>
    </xf>
    <xf numFmtId="9" fontId="18" fillId="0" borderId="0" xfId="12" applyFont="1" applyFill="1"/>
    <xf numFmtId="1" fontId="18" fillId="0" borderId="0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19" fillId="0" borderId="4" xfId="0" applyFont="1" applyFill="1" applyBorder="1" applyAlignment="1">
      <alignment horizontal="center"/>
    </xf>
    <xf numFmtId="14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3" fontId="0" fillId="0" borderId="0" xfId="0" applyNumberFormat="1" applyFill="1"/>
    <xf numFmtId="169" fontId="18" fillId="0" borderId="0" xfId="1" applyNumberFormat="1" applyFont="1" applyFill="1" applyAlignment="1">
      <alignment horizontal="center"/>
    </xf>
    <xf numFmtId="2" fontId="13" fillId="0" borderId="0" xfId="0" applyNumberFormat="1" applyFont="1" applyFill="1"/>
    <xf numFmtId="0" fontId="28" fillId="0" borderId="1" xfId="29" applyFont="1" applyFill="1" applyBorder="1" applyAlignment="1">
      <alignment horizontal="center" wrapText="1"/>
    </xf>
    <xf numFmtId="0" fontId="20" fillId="0" borderId="3" xfId="0" applyFont="1" applyFill="1" applyBorder="1"/>
    <xf numFmtId="164" fontId="18" fillId="0" borderId="3" xfId="0" applyNumberFormat="1" applyFont="1" applyFill="1" applyBorder="1"/>
    <xf numFmtId="43" fontId="18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17" fontId="0" fillId="0" borderId="0" xfId="0" applyNumberFormat="1" applyAlignment="1">
      <alignment horizontal="left"/>
    </xf>
    <xf numFmtId="0" fontId="9" fillId="0" borderId="0" xfId="0" applyFont="1" applyAlignment="1"/>
    <xf numFmtId="1" fontId="9" fillId="0" borderId="0" xfId="0" applyNumberFormat="1" applyFont="1" applyAlignment="1"/>
    <xf numFmtId="0" fontId="9" fillId="0" borderId="0" xfId="8" applyFont="1"/>
    <xf numFmtId="0" fontId="9" fillId="0" borderId="0" xfId="8" applyFont="1" applyFill="1"/>
    <xf numFmtId="0" fontId="9" fillId="0" borderId="0" xfId="0" applyFont="1" applyFill="1" applyBorder="1"/>
    <xf numFmtId="0" fontId="9" fillId="0" borderId="0" xfId="0" applyFont="1" applyFill="1"/>
    <xf numFmtId="0" fontId="0" fillId="0" borderId="0" xfId="0" applyNumberFormat="1" applyAlignment="1">
      <alignment horizontal="left"/>
    </xf>
    <xf numFmtId="17" fontId="9" fillId="0" borderId="0" xfId="0" applyNumberFormat="1" applyFont="1" applyFill="1" applyAlignment="1">
      <alignment horizontal="left"/>
    </xf>
    <xf numFmtId="0" fontId="28" fillId="0" borderId="1" xfId="29" applyFont="1" applyBorder="1" applyAlignment="1">
      <alignment horizontal="left" wrapText="1"/>
    </xf>
    <xf numFmtId="41" fontId="0" fillId="0" borderId="0" xfId="0" applyNumberFormat="1" applyAlignment="1">
      <alignment horizontal="left"/>
    </xf>
    <xf numFmtId="0" fontId="28" fillId="0" borderId="1" xfId="29" applyNumberFormat="1" applyFont="1" applyFill="1" applyBorder="1" applyAlignment="1">
      <alignment horizontal="center" wrapText="1"/>
    </xf>
    <xf numFmtId="172" fontId="27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/>
    </xf>
    <xf numFmtId="0" fontId="28" fillId="0" borderId="1" xfId="29" applyFont="1" applyBorder="1" applyAlignment="1">
      <alignment horizontal="center" wrapText="1"/>
    </xf>
    <xf numFmtId="0" fontId="27" fillId="0" borderId="0" xfId="29" applyFont="1"/>
    <xf numFmtId="41" fontId="27" fillId="0" borderId="0" xfId="33" applyNumberFormat="1" applyFont="1" applyAlignment="1">
      <alignment horizontal="left"/>
    </xf>
    <xf numFmtId="41" fontId="27" fillId="0" borderId="0" xfId="33" applyNumberFormat="1" applyFont="1" applyFill="1" applyAlignment="1">
      <alignment horizontal="center" vertical="center"/>
    </xf>
    <xf numFmtId="2" fontId="29" fillId="0" borderId="1" xfId="0" applyNumberFormat="1" applyFont="1" applyFill="1" applyBorder="1" applyAlignment="1">
      <alignment horizontal="right" indent="2"/>
    </xf>
    <xf numFmtId="2" fontId="29" fillId="0" borderId="0" xfId="0" applyNumberFormat="1" applyFont="1" applyFill="1" applyBorder="1" applyAlignment="1">
      <alignment horizontal="right" indent="2"/>
    </xf>
    <xf numFmtId="2" fontId="30" fillId="0" borderId="0" xfId="0" applyNumberFormat="1" applyFont="1" applyFill="1" applyBorder="1" applyAlignment="1">
      <alignment horizontal="right" indent="2"/>
    </xf>
    <xf numFmtId="4" fontId="31" fillId="0" borderId="0" xfId="0" applyNumberFormat="1" applyFont="1"/>
    <xf numFmtId="2" fontId="0" fillId="0" borderId="0" xfId="0" applyNumberFormat="1" applyAlignment="1">
      <alignment horizontal="right"/>
    </xf>
    <xf numFmtId="2" fontId="3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3" fontId="0" fillId="0" borderId="0" xfId="0" applyNumberFormat="1" applyAlignment="1">
      <alignment horizontal="right"/>
    </xf>
    <xf numFmtId="173" fontId="32" fillId="0" borderId="0" xfId="0" applyNumberFormat="1" applyFont="1" applyAlignment="1">
      <alignment horizontal="right"/>
    </xf>
    <xf numFmtId="1" fontId="27" fillId="0" borderId="0" xfId="33" applyNumberFormat="1" applyFont="1" applyFill="1" applyAlignment="1">
      <alignment horizontal="right" vertical="center"/>
    </xf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0" fontId="0" fillId="0" borderId="0" xfId="12" applyNumberFormat="1" applyFont="1" applyFill="1"/>
    <xf numFmtId="41" fontId="27" fillId="0" borderId="0" xfId="29" applyNumberFormat="1" applyFont="1"/>
    <xf numFmtId="0" fontId="28" fillId="0" borderId="1" xfId="29" applyFont="1" applyBorder="1" applyAlignment="1">
      <alignment wrapText="1"/>
    </xf>
    <xf numFmtId="0" fontId="28" fillId="0" borderId="0" xfId="29" applyFont="1" applyFill="1" applyBorder="1" applyAlignment="1">
      <alignment horizontal="center" wrapText="1"/>
    </xf>
    <xf numFmtId="41" fontId="27" fillId="0" borderId="0" xfId="33" applyNumberFormat="1" applyFont="1" applyAlignment="1">
      <alignment horizontal="center" vertical="center"/>
    </xf>
    <xf numFmtId="41" fontId="0" fillId="0" borderId="0" xfId="0" applyNumberFormat="1"/>
    <xf numFmtId="0" fontId="16" fillId="0" borderId="1" xfId="0" applyFont="1" applyBorder="1" applyAlignment="1">
      <alignment horizontal="centerContinuous"/>
    </xf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quotePrefix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</cellXfs>
  <cellStyles count="34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3" xfId="32" xr:uid="{5440E113-77DF-4DAD-9026-4858CCB03DB9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FFFF00"/>
      <color rgb="FFFFCF01"/>
      <color rgb="FF0066FF"/>
      <color rgb="FFD99694"/>
      <color rgb="FFB7DEE8"/>
      <color rgb="FF0000FF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</a:t>
            </a: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oybean crush volume</a:t>
            </a: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0030284675954E-2"/>
          <c:y val="0.21514552686728111"/>
          <c:w val="0.87083719423354522"/>
          <c:h val="0.48436965146798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1'!$B$1</c:f>
              <c:strCache>
                <c:ptCount val="1"/>
                <c:pt idx="0">
                  <c:v>Crush Volume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'Figure 1'!$A$2:$A$13</c:f>
              <c:strCache>
                <c:ptCount val="12"/>
                <c:pt idx="0">
                  <c:v> 2011/12 </c:v>
                </c:pt>
                <c:pt idx="1">
                  <c:v> 2012/13 </c:v>
                </c:pt>
                <c:pt idx="2">
                  <c:v> 2013/14 </c:v>
                </c:pt>
                <c:pt idx="3">
                  <c:v> 2014/15 </c:v>
                </c:pt>
                <c:pt idx="4">
                  <c:v> 2015/16 </c:v>
                </c:pt>
                <c:pt idx="5">
                  <c:v> 2016/17 </c:v>
                </c:pt>
                <c:pt idx="6">
                  <c:v> 2017/18 </c:v>
                </c:pt>
                <c:pt idx="7">
                  <c:v> 2018/19 </c:v>
                </c:pt>
                <c:pt idx="8">
                  <c:v> 2019/20 </c:v>
                </c:pt>
                <c:pt idx="9">
                  <c:v> 2020/21 </c:v>
                </c:pt>
                <c:pt idx="10">
                  <c:v> 2021/22* </c:v>
                </c:pt>
                <c:pt idx="11">
                  <c:v> 2022/23* </c:v>
                </c:pt>
              </c:strCache>
            </c:strRef>
          </c:cat>
          <c:val>
            <c:numRef>
              <c:f>'Figure 1'!$B$2:$B$13</c:f>
              <c:numCache>
                <c:formatCode>_(* #,##0_);_(* \(#,##0\);_(* "-"_);_(@_)</c:formatCode>
                <c:ptCount val="12"/>
                <c:pt idx="0">
                  <c:v>1703</c:v>
                </c:pt>
                <c:pt idx="1">
                  <c:v>1689</c:v>
                </c:pt>
                <c:pt idx="2">
                  <c:v>1734</c:v>
                </c:pt>
                <c:pt idx="3">
                  <c:v>1873</c:v>
                </c:pt>
                <c:pt idx="4">
                  <c:v>1886.2368000000001</c:v>
                </c:pt>
                <c:pt idx="5">
                  <c:v>1901.1981000000001</c:v>
                </c:pt>
                <c:pt idx="6">
                  <c:v>2054.9319999999998</c:v>
                </c:pt>
                <c:pt idx="7">
                  <c:v>2091.9902999999999</c:v>
                </c:pt>
                <c:pt idx="8">
                  <c:v>2164.5542</c:v>
                </c:pt>
                <c:pt idx="9">
                  <c:v>2140.5846999999999</c:v>
                </c:pt>
                <c:pt idx="10">
                  <c:v>2215</c:v>
                </c:pt>
                <c:pt idx="1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E-4737-B376-10CF008DD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5421487815886963"/>
              <c:y val="0.842447415003357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ax val="2300"/>
          <c:min val="11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bushels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070516146182E-3"/>
              <c:y val="0.139041867339398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canola yields and production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0030284675954E-2"/>
          <c:y val="0.21514552686728111"/>
          <c:w val="0.87083719423354522"/>
          <c:h val="0.484369651467985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2'!$C$1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2'!$A$2:$A$13</c:f>
              <c:strCache>
                <c:ptCount val="12"/>
                <c:pt idx="0">
                  <c:v> 2011/12 </c:v>
                </c:pt>
                <c:pt idx="1">
                  <c:v> 2012/13 </c:v>
                </c:pt>
                <c:pt idx="2">
                  <c:v> 2013/14 </c:v>
                </c:pt>
                <c:pt idx="3">
                  <c:v> 2014/15 </c:v>
                </c:pt>
                <c:pt idx="4">
                  <c:v> 2015/16 </c:v>
                </c:pt>
                <c:pt idx="5">
                  <c:v> 2016/17 </c:v>
                </c:pt>
                <c:pt idx="6">
                  <c:v> 2017/18 </c:v>
                </c:pt>
                <c:pt idx="7">
                  <c:v> 2018/19 </c:v>
                </c:pt>
                <c:pt idx="8">
                  <c:v> 2019/20 </c:v>
                </c:pt>
                <c:pt idx="9">
                  <c:v> 2020/21 </c:v>
                </c:pt>
                <c:pt idx="10">
                  <c:v> 2021/22* </c:v>
                </c:pt>
                <c:pt idx="11">
                  <c:v> 2022/23* </c:v>
                </c:pt>
              </c:strCache>
            </c:strRef>
          </c:cat>
          <c:val>
            <c:numRef>
              <c:f>'Figure 2'!$C$2:$C$13</c:f>
              <c:numCache>
                <c:formatCode>_(* #,##0_);_(* \(#,##0\);_(* "-"_);_(@_)</c:formatCode>
                <c:ptCount val="12"/>
                <c:pt idx="0">
                  <c:v>1528.01</c:v>
                </c:pt>
                <c:pt idx="1">
                  <c:v>2391.61</c:v>
                </c:pt>
                <c:pt idx="2">
                  <c:v>2203.0549999999998</c:v>
                </c:pt>
                <c:pt idx="3">
                  <c:v>2506.5949999999998</c:v>
                </c:pt>
                <c:pt idx="4">
                  <c:v>2876.57</c:v>
                </c:pt>
                <c:pt idx="5">
                  <c:v>3078.99</c:v>
                </c:pt>
                <c:pt idx="6">
                  <c:v>3055.41</c:v>
                </c:pt>
                <c:pt idx="7">
                  <c:v>3615.44</c:v>
                </c:pt>
                <c:pt idx="8">
                  <c:v>3400.8649999999998</c:v>
                </c:pt>
                <c:pt idx="9">
                  <c:v>3453.0619999999999</c:v>
                </c:pt>
                <c:pt idx="10">
                  <c:v>2720.55</c:v>
                </c:pt>
                <c:pt idx="11">
                  <c:v>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64A-A0FC-5A7EC8B68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Yield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2'!$A$2:$A$13</c:f>
              <c:strCache>
                <c:ptCount val="12"/>
                <c:pt idx="0">
                  <c:v> 2011/12 </c:v>
                </c:pt>
                <c:pt idx="1">
                  <c:v> 2012/13 </c:v>
                </c:pt>
                <c:pt idx="2">
                  <c:v> 2013/14 </c:v>
                </c:pt>
                <c:pt idx="3">
                  <c:v> 2014/15 </c:v>
                </c:pt>
                <c:pt idx="4">
                  <c:v> 2015/16 </c:v>
                </c:pt>
                <c:pt idx="5">
                  <c:v> 2016/17 </c:v>
                </c:pt>
                <c:pt idx="6">
                  <c:v> 2017/18 </c:v>
                </c:pt>
                <c:pt idx="7">
                  <c:v> 2018/19 </c:v>
                </c:pt>
                <c:pt idx="8">
                  <c:v> 2019/20 </c:v>
                </c:pt>
                <c:pt idx="9">
                  <c:v> 2020/21 </c:v>
                </c:pt>
                <c:pt idx="10">
                  <c:v> 2021/22* </c:v>
                </c:pt>
                <c:pt idx="11">
                  <c:v> 2022/23* </c:v>
                </c:pt>
              </c:strCache>
            </c:strRef>
          </c:cat>
          <c:val>
            <c:numRef>
              <c:f>'Figure 2'!$B$2:$B$13</c:f>
              <c:numCache>
                <c:formatCode>_(* #,##0_);_(* \(#,##0\);_(* "-"_);_(@_)</c:formatCode>
                <c:ptCount val="12"/>
                <c:pt idx="0">
                  <c:v>1479.1965150048402</c:v>
                </c:pt>
                <c:pt idx="1">
                  <c:v>1392.1706734967113</c:v>
                </c:pt>
                <c:pt idx="2">
                  <c:v>1742.2340846184261</c:v>
                </c:pt>
                <c:pt idx="3">
                  <c:v>1610.197854435665</c:v>
                </c:pt>
                <c:pt idx="4">
                  <c:v>1678.7686022760433</c:v>
                </c:pt>
                <c:pt idx="5">
                  <c:v>1825.4520661647</c:v>
                </c:pt>
                <c:pt idx="6">
                  <c:v>1526.1788211788212</c:v>
                </c:pt>
                <c:pt idx="7">
                  <c:v>1861.2303732303733</c:v>
                </c:pt>
                <c:pt idx="8">
                  <c:v>1781.0238282272846</c:v>
                </c:pt>
                <c:pt idx="9">
                  <c:v>1931.4587761494574</c:v>
                </c:pt>
                <c:pt idx="10">
                  <c:v>1302.3216850167546</c:v>
                </c:pt>
                <c:pt idx="11">
                  <c:v>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9-464A-A0FC-5A7EC8B68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471760"/>
        <c:axId val="691471344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5421487815886963"/>
              <c:y val="0.842447415003357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ax val="4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pounds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070516146182E-3"/>
              <c:y val="0.139041867339398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691471344"/>
        <c:scaling>
          <c:orientation val="minMax"/>
          <c:max val="2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Pounds per acre</a:t>
                </a:r>
              </a:p>
            </c:rich>
          </c:tx>
          <c:layout>
            <c:manualLayout>
              <c:xMode val="edge"/>
              <c:yMode val="edge"/>
              <c:x val="0.86578199229187736"/>
              <c:y val="0.139182811450894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1471760"/>
        <c:crosses val="max"/>
        <c:crossBetween val="between"/>
      </c:valAx>
      <c:catAx>
        <c:axId val="69147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471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326274188935357"/>
          <c:y val="0.10981407556613561"/>
          <c:w val="0.51347451622129292"/>
          <c:h val="4.945589940792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Global major oilseed production and crush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5835520559930013E-3"/>
          <c:y val="2.6639471173160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64768826973552E-2"/>
          <c:y val="0.17749581133496328"/>
          <c:w val="0.92198667474258011"/>
          <c:h val="0.5706203170396044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3'!$B$2</c:f>
              <c:strCache>
                <c:ptCount val="1"/>
                <c:pt idx="0">
                  <c:v>Cottonseed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3'!$A$3:$A$9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2021/22*</c:v>
                </c:pt>
                <c:pt idx="6">
                  <c:v>2022/23*</c:v>
                </c:pt>
              </c:strCache>
            </c:strRef>
          </c:cat>
          <c:val>
            <c:numRef>
              <c:f>'Figure 3'!$B$3:$B$9</c:f>
              <c:numCache>
                <c:formatCode>_(* #,##0_);_(* \(#,##0\);_(* "-"_);_(@_)</c:formatCode>
                <c:ptCount val="7"/>
                <c:pt idx="0">
                  <c:v>39.286999999999999</c:v>
                </c:pt>
                <c:pt idx="1">
                  <c:v>45.252000000000002</c:v>
                </c:pt>
                <c:pt idx="2">
                  <c:v>42.97</c:v>
                </c:pt>
                <c:pt idx="3">
                  <c:v>43.546999999999997</c:v>
                </c:pt>
                <c:pt idx="4">
                  <c:v>40.805999999999997</c:v>
                </c:pt>
                <c:pt idx="5">
                  <c:v>42.747</c:v>
                </c:pt>
                <c:pt idx="6">
                  <c:v>44.073999999999998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2-4021-8B7A-D63D3D65B7D3}"/>
            </c:ext>
          </c:extLst>
        </c:ser>
        <c:ser>
          <c:idx val="4"/>
          <c:order val="1"/>
          <c:tx>
            <c:strRef>
              <c:f>'Figure 3'!$C$2</c:f>
              <c:strCache>
                <c:ptCount val="1"/>
                <c:pt idx="0">
                  <c:v>Peanut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3'!$A$3:$A$9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2021/22*</c:v>
                </c:pt>
                <c:pt idx="6">
                  <c:v>2022/23*</c:v>
                </c:pt>
              </c:strCache>
            </c:strRef>
          </c:cat>
          <c:val>
            <c:numRef>
              <c:f>'Figure 3'!$C$3:$C$9</c:f>
              <c:numCache>
                <c:formatCode>_(* #,##0_);_(* \(#,##0\);_(* "-"_);_(@_)</c:formatCode>
                <c:ptCount val="7"/>
                <c:pt idx="0">
                  <c:v>45.97</c:v>
                </c:pt>
                <c:pt idx="1">
                  <c:v>47.152000000000001</c:v>
                </c:pt>
                <c:pt idx="2">
                  <c:v>46.709000000000003</c:v>
                </c:pt>
                <c:pt idx="3">
                  <c:v>48.136000000000003</c:v>
                </c:pt>
                <c:pt idx="4">
                  <c:v>50.247999999999998</c:v>
                </c:pt>
                <c:pt idx="5">
                  <c:v>50.286999999999999</c:v>
                </c:pt>
                <c:pt idx="6">
                  <c:v>50.914000000000001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2-4021-8B7A-D63D3D65B7D3}"/>
            </c:ext>
          </c:extLst>
        </c:ser>
        <c:ser>
          <c:idx val="2"/>
          <c:order val="2"/>
          <c:tx>
            <c:strRef>
              <c:f>'Figure 3'!$D$2</c:f>
              <c:strCache>
                <c:ptCount val="1"/>
                <c:pt idx="0">
                  <c:v>Rapeseed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3'!$A$3:$A$9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2021/22*</c:v>
                </c:pt>
                <c:pt idx="6">
                  <c:v>2022/23*</c:v>
                </c:pt>
              </c:strCache>
            </c:strRef>
          </c:cat>
          <c:val>
            <c:numRef>
              <c:f>'Figure 3'!$D$3:$D$9</c:f>
              <c:numCache>
                <c:formatCode>_(* #,##0_);_(* \(#,##0\);_(* "-"_);_(@_)</c:formatCode>
                <c:ptCount val="7"/>
                <c:pt idx="0">
                  <c:v>69.554000000000002</c:v>
                </c:pt>
                <c:pt idx="1">
                  <c:v>75.283000000000001</c:v>
                </c:pt>
                <c:pt idx="2">
                  <c:v>72.852999999999994</c:v>
                </c:pt>
                <c:pt idx="3">
                  <c:v>69.597999999999999</c:v>
                </c:pt>
                <c:pt idx="4">
                  <c:v>73.593000000000004</c:v>
                </c:pt>
                <c:pt idx="5">
                  <c:v>71.179000000000002</c:v>
                </c:pt>
                <c:pt idx="6">
                  <c:v>80.319999999999993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E-4AFF-98F0-7D4912A7CFE6}"/>
            </c:ext>
          </c:extLst>
        </c:ser>
        <c:ser>
          <c:idx val="1"/>
          <c:order val="3"/>
          <c:tx>
            <c:strRef>
              <c:f>'Figure 3'!$E$2</c:f>
              <c:strCache>
                <c:ptCount val="1"/>
                <c:pt idx="0">
                  <c:v>Soybean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3'!$A$3:$A$9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2021/22*</c:v>
                </c:pt>
                <c:pt idx="6">
                  <c:v>2022/23*</c:v>
                </c:pt>
              </c:strCache>
            </c:strRef>
          </c:cat>
          <c:val>
            <c:numRef>
              <c:f>'Figure 3'!$E$3:$E$9</c:f>
              <c:numCache>
                <c:formatCode>_(* #,##0_);_(* \(#,##0\);_(* "-"_);_(@_)</c:formatCode>
                <c:ptCount val="7"/>
                <c:pt idx="0">
                  <c:v>350.38799999999998</c:v>
                </c:pt>
                <c:pt idx="1">
                  <c:v>343.73500000000001</c:v>
                </c:pt>
                <c:pt idx="2">
                  <c:v>362.44299999999998</c:v>
                </c:pt>
                <c:pt idx="3">
                  <c:v>340.15199999999999</c:v>
                </c:pt>
                <c:pt idx="4">
                  <c:v>368.12200000000001</c:v>
                </c:pt>
                <c:pt idx="5">
                  <c:v>349.36700000000002</c:v>
                </c:pt>
                <c:pt idx="6">
                  <c:v>394.69299999999998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E-4AFF-98F0-7D4912A7CFE6}"/>
            </c:ext>
          </c:extLst>
        </c:ser>
        <c:ser>
          <c:idx val="0"/>
          <c:order val="4"/>
          <c:tx>
            <c:strRef>
              <c:f>'Figure 3'!$F$2</c:f>
              <c:strCache>
                <c:ptCount val="1"/>
                <c:pt idx="0">
                  <c:v>Sunflowerseed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3'!$A$3:$A$9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2021/22*</c:v>
                </c:pt>
                <c:pt idx="6">
                  <c:v>2022/23*</c:v>
                </c:pt>
              </c:strCache>
            </c:strRef>
          </c:cat>
          <c:val>
            <c:numRef>
              <c:f>'Figure 3'!$F$3:$F$9</c:f>
              <c:numCache>
                <c:formatCode>_(* #,##0_);_(* \(#,##0\);_(* "-"_);_(@_)</c:formatCode>
                <c:ptCount val="7"/>
                <c:pt idx="0">
                  <c:v>48.393000000000001</c:v>
                </c:pt>
                <c:pt idx="1">
                  <c:v>48.01</c:v>
                </c:pt>
                <c:pt idx="2">
                  <c:v>50.658999999999999</c:v>
                </c:pt>
                <c:pt idx="3">
                  <c:v>54.2</c:v>
                </c:pt>
                <c:pt idx="4">
                  <c:v>49.249000000000002</c:v>
                </c:pt>
                <c:pt idx="5">
                  <c:v>57.378999999999998</c:v>
                </c:pt>
                <c:pt idx="6">
                  <c:v>50.722000000000001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E-4AFF-98F0-7D4912A7CFE6}"/>
            </c:ext>
          </c:extLst>
        </c:ser>
        <c:ser>
          <c:idx val="6"/>
          <c:order val="5"/>
          <c:tx>
            <c:strRef>
              <c:f>'Figure 3'!$G$2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3'!$G$3:$G$9</c:f>
              <c:numCache>
                <c:formatCode>_(* #,##0_);_(* \(#,##0\);_(* "-"_);_(@_)</c:formatCode>
                <c:ptCount val="7"/>
                <c:pt idx="0">
                  <c:v>22.657</c:v>
                </c:pt>
                <c:pt idx="1">
                  <c:v>24.463000000000001</c:v>
                </c:pt>
                <c:pt idx="2">
                  <c:v>25.28</c:v>
                </c:pt>
                <c:pt idx="3">
                  <c:v>25.018000000000001</c:v>
                </c:pt>
                <c:pt idx="4">
                  <c:v>24.623000000000001</c:v>
                </c:pt>
                <c:pt idx="5">
                  <c:v>25.91</c:v>
                </c:pt>
                <c:pt idx="6">
                  <c:v>26.422000000000001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F2-45AA-B83F-B09DF658F6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7"/>
          <c:order val="6"/>
          <c:tx>
            <c:strRef>
              <c:f>'Figure 3'!$H$2</c:f>
              <c:strCache>
                <c:ptCount val="1"/>
                <c:pt idx="0">
                  <c:v>Total crush 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'Figure 3'!$H$3:$H$9</c:f>
              <c:numCache>
                <c:formatCode>_(* #,##0_);_(* \(#,##0\);_(* "-"_);_(@_)</c:formatCode>
                <c:ptCount val="7"/>
                <c:pt idx="0">
                  <c:v>468.072</c:v>
                </c:pt>
                <c:pt idx="1">
                  <c:v>484.238</c:v>
                </c:pt>
                <c:pt idx="2">
                  <c:v>489.2</c:v>
                </c:pt>
                <c:pt idx="3">
                  <c:v>507.73099999999999</c:v>
                </c:pt>
                <c:pt idx="4">
                  <c:v>508.00099999999998</c:v>
                </c:pt>
                <c:pt idx="5">
                  <c:v>510.30500000000001</c:v>
                </c:pt>
                <c:pt idx="6">
                  <c:v>528.05399999999997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2-45AA-B83F-B09DF658F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7118981071858967"/>
              <c:y val="0.862354676160453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ax val="700"/>
          <c:min val="0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699946160576082"/>
          <c:y val="0.1241650758782769"/>
          <c:w val="0.73898966956053591"/>
          <c:h val="0.1142235390643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Global major vegetable oils production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7569859110841651E-3"/>
          <c:y val="2.663944529630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35260712244833E-2"/>
          <c:y val="0.18371271187668065"/>
          <c:w val="0.92427234708986139"/>
          <c:h val="0.52107325103675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4'!$B$1</c:f>
              <c:strCache>
                <c:ptCount val="1"/>
                <c:pt idx="0">
                  <c:v>Sunflower oil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4'!$A$2:$A$13</c15:sqref>
                  </c15:fullRef>
                </c:ext>
              </c:extLst>
              <c:f>'Figure 4'!$A$7:$A$13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2021/22*</c:v>
                </c:pt>
                <c:pt idx="6">
                  <c:v>2022/23*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4'!$B$2:$B$13</c15:sqref>
                  </c15:fullRef>
                </c:ext>
              </c:extLst>
              <c:f>'Figure 4'!$B$7:$B$13</c:f>
              <c:numCache>
                <c:formatCode>_(* #,##0_);_(* \(#,##0\);_(* "-"_);_(@_)</c:formatCode>
                <c:ptCount val="7"/>
                <c:pt idx="0">
                  <c:v>18.3</c:v>
                </c:pt>
                <c:pt idx="1">
                  <c:v>18.577999999999999</c:v>
                </c:pt>
                <c:pt idx="2">
                  <c:v>19.603000000000002</c:v>
                </c:pt>
                <c:pt idx="3">
                  <c:v>21.117999999999999</c:v>
                </c:pt>
                <c:pt idx="4">
                  <c:v>19.044</c:v>
                </c:pt>
                <c:pt idx="5">
                  <c:v>19.913</c:v>
                </c:pt>
                <c:pt idx="6">
                  <c:v>19.135999999999999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E-4C81-95E2-798993075E44}"/>
            </c:ext>
          </c:extLst>
        </c:ser>
        <c:ser>
          <c:idx val="0"/>
          <c:order val="1"/>
          <c:tx>
            <c:strRef>
              <c:f>'Figure 4'!$D$1</c:f>
              <c:strCache>
                <c:ptCount val="1"/>
                <c:pt idx="0">
                  <c:v>Canola oil 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4'!$A$2:$A$13</c15:sqref>
                  </c15:fullRef>
                </c:ext>
              </c:extLst>
              <c:f>'Figure 4'!$A$7:$A$13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2021/22*</c:v>
                </c:pt>
                <c:pt idx="6">
                  <c:v>2022/23*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4'!$D$2:$D$13</c15:sqref>
                  </c15:fullRef>
                </c:ext>
              </c:extLst>
              <c:f>'Figure 4'!$D$7:$D$13</c:f>
              <c:numCache>
                <c:formatCode>_(* #,##0_);_(* \(#,##0\);_(* "-"_);_(@_)</c:formatCode>
                <c:ptCount val="7"/>
                <c:pt idx="0">
                  <c:v>27.602</c:v>
                </c:pt>
                <c:pt idx="1">
                  <c:v>28.132000000000001</c:v>
                </c:pt>
                <c:pt idx="2">
                  <c:v>27.794</c:v>
                </c:pt>
                <c:pt idx="3">
                  <c:v>28.100999999999999</c:v>
                </c:pt>
                <c:pt idx="4">
                  <c:v>29.216999999999999</c:v>
                </c:pt>
                <c:pt idx="5">
                  <c:v>28.474</c:v>
                </c:pt>
                <c:pt idx="6">
                  <c:v>30.741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E-4C81-95E2-798993075E44}"/>
            </c:ext>
          </c:extLst>
        </c:ser>
        <c:ser>
          <c:idx val="3"/>
          <c:order val="2"/>
          <c:tx>
            <c:strRef>
              <c:f>'Figure 4'!$C$1</c:f>
              <c:strCache>
                <c:ptCount val="1"/>
                <c:pt idx="0">
                  <c:v>Soybean oil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4'!$A$2:$A$13</c15:sqref>
                  </c15:fullRef>
                </c:ext>
              </c:extLst>
              <c:f>'Figure 4'!$A$7:$A$13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2021/22*</c:v>
                </c:pt>
                <c:pt idx="6">
                  <c:v>2022/23*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4'!$C$2:$C$13</c15:sqref>
                  </c15:fullRef>
                </c:ext>
              </c:extLst>
              <c:f>'Figure 4'!$C$7:$C$13</c:f>
              <c:numCache>
                <c:formatCode>_(* #,##0_);_(* \(#,##0\);_(* "-"_);_(@_)</c:formatCode>
                <c:ptCount val="7"/>
                <c:pt idx="0">
                  <c:v>53.908999999999999</c:v>
                </c:pt>
                <c:pt idx="1">
                  <c:v>55.279000000000003</c:v>
                </c:pt>
                <c:pt idx="2">
                  <c:v>56.061999999999998</c:v>
                </c:pt>
                <c:pt idx="3">
                  <c:v>58.521000000000001</c:v>
                </c:pt>
                <c:pt idx="4">
                  <c:v>59.164999999999999</c:v>
                </c:pt>
                <c:pt idx="5">
                  <c:v>59.112000000000002</c:v>
                </c:pt>
                <c:pt idx="6">
                  <c:v>61.429000000000002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DE-4C81-95E2-798993075E44}"/>
            </c:ext>
          </c:extLst>
        </c:ser>
        <c:ser>
          <c:idx val="4"/>
          <c:order val="3"/>
          <c:tx>
            <c:strRef>
              <c:f>'Figure 4'!$E$1</c:f>
              <c:strCache>
                <c:ptCount val="1"/>
                <c:pt idx="0">
                  <c:v>Palm oil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4'!$A$2:$A$13</c15:sqref>
                  </c15:fullRef>
                </c:ext>
              </c:extLst>
              <c:f>'Figure 4'!$A$7:$A$13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2021/22*</c:v>
                </c:pt>
                <c:pt idx="6">
                  <c:v>2022/23*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4'!$E$2:$E$13</c15:sqref>
                  </c15:fullRef>
                </c:ext>
              </c:extLst>
              <c:f>'Figure 4'!$E$7:$E$13</c:f>
              <c:numCache>
                <c:formatCode>_(* #,##0_);_(* \(#,##0\);_(* "-"_);_(@_)</c:formatCode>
                <c:ptCount val="7"/>
                <c:pt idx="0">
                  <c:v>65.263000000000005</c:v>
                </c:pt>
                <c:pt idx="1">
                  <c:v>70.64</c:v>
                </c:pt>
                <c:pt idx="2">
                  <c:v>74.275999999999996</c:v>
                </c:pt>
                <c:pt idx="3">
                  <c:v>73.105000000000004</c:v>
                </c:pt>
                <c:pt idx="4">
                  <c:v>73.129000000000005</c:v>
                </c:pt>
                <c:pt idx="5">
                  <c:v>76.947999999999993</c:v>
                </c:pt>
                <c:pt idx="6">
                  <c:v>79.126999999999995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DE-4C81-95E2-798993075E44}"/>
            </c:ext>
          </c:extLst>
        </c:ser>
        <c:ser>
          <c:idx val="2"/>
          <c:order val="4"/>
          <c:tx>
            <c:strRef>
              <c:f>'Figure 4'!$F$1</c:f>
              <c:strCache>
                <c:ptCount val="1"/>
                <c:pt idx="0">
                  <c:v>Other oils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4'!$A$2:$A$13</c15:sqref>
                  </c15:fullRef>
                </c:ext>
              </c:extLst>
              <c:f>'Figure 4'!$A$7:$A$13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2021/22*</c:v>
                </c:pt>
                <c:pt idx="6">
                  <c:v>2022/23*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4'!$F$2:$F$13</c15:sqref>
                  </c15:fullRef>
                </c:ext>
              </c:extLst>
              <c:f>'Figure 4'!$F$7:$F$13</c:f>
              <c:numCache>
                <c:formatCode>_(* #,##0_);_(* \(#,##0\);_(* "-"_);_(@_)</c:formatCode>
                <c:ptCount val="7"/>
                <c:pt idx="0">
                  <c:v>23.514999999999986</c:v>
                </c:pt>
                <c:pt idx="1">
                  <c:v>26.093999999999994</c:v>
                </c:pt>
                <c:pt idx="2">
                  <c:v>26.162000000000006</c:v>
                </c:pt>
                <c:pt idx="3">
                  <c:v>26.455000000000013</c:v>
                </c:pt>
                <c:pt idx="4">
                  <c:v>25.989000000000004</c:v>
                </c:pt>
                <c:pt idx="5">
                  <c:v>27.25800000000001</c:v>
                </c:pt>
                <c:pt idx="6">
                  <c:v>27.28400000000002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E-4C81-95E2-798993075E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9891487443"/>
              <c:y val="0.849015481296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5972546486121E-3"/>
              <c:y val="0.12257566873289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174495971994616"/>
          <c:y val="0.15892000497016182"/>
          <c:w val="0.77930742642063355"/>
          <c:h val="4.6522689684364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5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Global major vegetable oils stocks as of October 1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6.1295981963031838E-3"/>
          <c:y val="1.205511112255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98066356652612E-2"/>
          <c:y val="0.18371271187668065"/>
          <c:w val="0.90740947440465147"/>
          <c:h val="0.52107325103675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5'!$B$1</c:f>
              <c:strCache>
                <c:ptCount val="1"/>
                <c:pt idx="0">
                  <c:v>Sunflower oil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5'!$A$2:$A$8</c:f>
              <c:strCache>
                <c:ptCount val="7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  <c:pt idx="6">
                  <c:v>2022/2023*</c:v>
                </c:pt>
              </c:strCache>
            </c:strRef>
          </c:cat>
          <c:val>
            <c:numRef>
              <c:f>'Figure 5'!$B$2:$B$8</c:f>
              <c:numCache>
                <c:formatCode>_(* #,##0_);_(* \(#,##0\);_(* "-"_);_(@_)</c:formatCode>
                <c:ptCount val="7"/>
                <c:pt idx="0">
                  <c:v>2.5979999999999999</c:v>
                </c:pt>
                <c:pt idx="1">
                  <c:v>2.59</c:v>
                </c:pt>
                <c:pt idx="2">
                  <c:v>2.3090000000000002</c:v>
                </c:pt>
                <c:pt idx="3">
                  <c:v>2.7869999999999999</c:v>
                </c:pt>
                <c:pt idx="4">
                  <c:v>1.9530000000000001</c:v>
                </c:pt>
                <c:pt idx="5">
                  <c:v>2.331</c:v>
                </c:pt>
                <c:pt idx="6">
                  <c:v>1.9530000000000001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F-4B8A-BE8E-AD3927C3C993}"/>
            </c:ext>
          </c:extLst>
        </c:ser>
        <c:ser>
          <c:idx val="2"/>
          <c:order val="1"/>
          <c:tx>
            <c:strRef>
              <c:f>'Figure 5'!$C$1</c:f>
              <c:strCache>
                <c:ptCount val="1"/>
                <c:pt idx="0">
                  <c:v>Soybean oil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5'!$A$2:$A$8</c:f>
              <c:strCache>
                <c:ptCount val="7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  <c:pt idx="6">
                  <c:v>2022/2023*</c:v>
                </c:pt>
              </c:strCache>
            </c:strRef>
          </c:cat>
          <c:val>
            <c:numRef>
              <c:f>'Figure 5'!$C$2:$C$8</c:f>
              <c:numCache>
                <c:formatCode>_(* #,##0_);_(* \(#,##0\);_(* "-"_);_(@_)</c:formatCode>
                <c:ptCount val="7"/>
                <c:pt idx="0">
                  <c:v>4.1459999999999999</c:v>
                </c:pt>
                <c:pt idx="1">
                  <c:v>4.2640000000000002</c:v>
                </c:pt>
                <c:pt idx="2">
                  <c:v>4.6630000000000003</c:v>
                </c:pt>
                <c:pt idx="3">
                  <c:v>5.2839999999999998</c:v>
                </c:pt>
                <c:pt idx="4">
                  <c:v>5.1219999999999999</c:v>
                </c:pt>
                <c:pt idx="5">
                  <c:v>4.0919999999999996</c:v>
                </c:pt>
                <c:pt idx="6">
                  <c:v>3.875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F-4B8A-BE8E-AD3927C3C993}"/>
            </c:ext>
          </c:extLst>
        </c:ser>
        <c:ser>
          <c:idx val="0"/>
          <c:order val="2"/>
          <c:tx>
            <c:strRef>
              <c:f>'Figure 5'!$D$1</c:f>
              <c:strCache>
                <c:ptCount val="1"/>
                <c:pt idx="0">
                  <c:v>Canola oil 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5'!$A$2:$A$8</c:f>
              <c:strCache>
                <c:ptCount val="7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  <c:pt idx="6">
                  <c:v>2022/2023*</c:v>
                </c:pt>
              </c:strCache>
            </c:strRef>
          </c:cat>
          <c:val>
            <c:numRef>
              <c:f>'Figure 5'!$D$2:$D$8</c:f>
              <c:numCache>
                <c:formatCode>_(* #,##0_);_(* \(#,##0\);_(* "-"_);_(@_)</c:formatCode>
                <c:ptCount val="7"/>
                <c:pt idx="0">
                  <c:v>4.22</c:v>
                </c:pt>
                <c:pt idx="1">
                  <c:v>3.3759999999999999</c:v>
                </c:pt>
                <c:pt idx="2">
                  <c:v>2.8620000000000001</c:v>
                </c:pt>
                <c:pt idx="3">
                  <c:v>2.7429999999999999</c:v>
                </c:pt>
                <c:pt idx="4">
                  <c:v>3.4220000000000002</c:v>
                </c:pt>
                <c:pt idx="5">
                  <c:v>2.6150000000000002</c:v>
                </c:pt>
                <c:pt idx="6">
                  <c:v>3.0939999999999999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0F-4B8A-BE8E-AD3927C3C993}"/>
            </c:ext>
          </c:extLst>
        </c:ser>
        <c:ser>
          <c:idx val="3"/>
          <c:order val="3"/>
          <c:tx>
            <c:strRef>
              <c:f>'Figure 5'!$E$1</c:f>
              <c:strCache>
                <c:ptCount val="1"/>
                <c:pt idx="0">
                  <c:v>Palm oil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5'!$A$2:$A$8</c:f>
              <c:strCache>
                <c:ptCount val="7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  <c:pt idx="6">
                  <c:v>2022/2023*</c:v>
                </c:pt>
              </c:strCache>
            </c:strRef>
          </c:cat>
          <c:val>
            <c:numRef>
              <c:f>'Figure 5'!$E$2:$E$8</c:f>
              <c:numCache>
                <c:formatCode>_(* #,##0_);_(* \(#,##0\);_(* "-"_);_(@_)</c:formatCode>
                <c:ptCount val="7"/>
                <c:pt idx="0">
                  <c:v>10.209</c:v>
                </c:pt>
                <c:pt idx="1">
                  <c:v>12.693</c:v>
                </c:pt>
                <c:pt idx="2">
                  <c:v>14.532999999999999</c:v>
                </c:pt>
                <c:pt idx="3">
                  <c:v>15.337999999999999</c:v>
                </c:pt>
                <c:pt idx="4">
                  <c:v>14.257</c:v>
                </c:pt>
                <c:pt idx="5">
                  <c:v>15.273</c:v>
                </c:pt>
                <c:pt idx="6">
                  <c:v>16.524999999999999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0F-4B8A-BE8E-AD3927C3C993}"/>
            </c:ext>
          </c:extLst>
        </c:ser>
        <c:ser>
          <c:idx val="4"/>
          <c:order val="4"/>
          <c:tx>
            <c:strRef>
              <c:f>'Figure 5'!$F$1</c:f>
              <c:strCache>
                <c:ptCount val="1"/>
                <c:pt idx="0">
                  <c:v>Other oils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5'!$A$2:$A$8</c:f>
              <c:strCache>
                <c:ptCount val="7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  <c:pt idx="6">
                  <c:v>2022/2023*</c:v>
                </c:pt>
              </c:strCache>
            </c:strRef>
          </c:cat>
          <c:val>
            <c:numRef>
              <c:f>'Figure 5'!$F$2:$F$8</c:f>
              <c:numCache>
                <c:formatCode>_(* #,##0_);_(* \(#,##0\);_(* "-"_);_(@_)</c:formatCode>
                <c:ptCount val="7"/>
                <c:pt idx="0">
                  <c:v>2.0360000000000014</c:v>
                </c:pt>
                <c:pt idx="1">
                  <c:v>3.0849999999999973</c:v>
                </c:pt>
                <c:pt idx="2">
                  <c:v>2.9980000000000011</c:v>
                </c:pt>
                <c:pt idx="3">
                  <c:v>2.9919999999999973</c:v>
                </c:pt>
                <c:pt idx="4">
                  <c:v>2.6660000000000039</c:v>
                </c:pt>
                <c:pt idx="5">
                  <c:v>2.8260000000000005</c:v>
                </c:pt>
                <c:pt idx="6">
                  <c:v>2.6810000000000009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0F-4B8A-BE8E-AD3927C3C9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9891487443"/>
              <c:y val="0.849015481296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5972546486121E-3"/>
              <c:y val="0.12257566873289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967637219596128"/>
          <c:y val="0.1705873866830476"/>
          <c:w val="0.77930742642063355"/>
          <c:h val="4.6522689684364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507684</xdr:colOff>
      <xdr:row>0</xdr:row>
      <xdr:rowOff>130969</xdr:rowOff>
    </xdr:from>
    <xdr:to>
      <xdr:col>13</xdr:col>
      <xdr:colOff>490538</xdr:colOff>
      <xdr:row>22</xdr:row>
      <xdr:rowOff>83344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6E4DDD-3EB6-4DB1-A07C-45ACC51FE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0.90116</cdr:y>
    </cdr:from>
    <cdr:to>
      <cdr:x>0.98077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690937"/>
          <a:ext cx="6405695" cy="404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forecasts.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World Agricultural Outlook Board,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0</xdr:row>
      <xdr:rowOff>35719</xdr:rowOff>
    </xdr:from>
    <xdr:to>
      <xdr:col>14</xdr:col>
      <xdr:colOff>137636</xdr:colOff>
      <xdr:row>23</xdr:row>
      <xdr:rowOff>142875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F07C998-5F32-4F06-AC45-8ADF5A597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0.90116</cdr:y>
    </cdr:from>
    <cdr:to>
      <cdr:x>0.98077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690937"/>
          <a:ext cx="6405695" cy="404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forecasts.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World Agricultural Outlook Board,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301627</xdr:colOff>
      <xdr:row>0</xdr:row>
      <xdr:rowOff>110067</xdr:rowOff>
    </xdr:from>
    <xdr:to>
      <xdr:col>18</xdr:col>
      <xdr:colOff>106894</xdr:colOff>
      <xdr:row>21</xdr:row>
      <xdr:rowOff>97368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AFC6EBF-3C86-4A8F-A311-2B1F2B687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0.87793</cdr:y>
    </cdr:from>
    <cdr:to>
      <cdr:x>1</cdr:x>
      <cdr:y>0.99116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409951"/>
          <a:ext cx="6655857" cy="439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May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0.00586</cdr:x>
      <cdr:y>0.11373</cdr:y>
    </cdr:from>
    <cdr:to>
      <cdr:x>0.18661</cdr:x>
      <cdr:y>0.15422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93206985-DA7A-4350-ACA2-E585D1AF9617}"/>
            </a:ext>
          </a:extLst>
        </cdr:cNvPr>
        <cdr:cNvSpPr/>
      </cdr:nvSpPr>
      <cdr:spPr bwMode="auto">
        <a:xfrm xmlns:a="http://schemas.openxmlformats.org/drawingml/2006/main">
          <a:off x="34807" y="415016"/>
          <a:ext cx="1074306" cy="1477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metric tons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191559</xdr:colOff>
      <xdr:row>0</xdr:row>
      <xdr:rowOff>67735</xdr:rowOff>
    </xdr:from>
    <xdr:to>
      <xdr:col>16</xdr:col>
      <xdr:colOff>78317</xdr:colOff>
      <xdr:row>24</xdr:row>
      <xdr:rowOff>6351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5B393E-81DB-4692-AEFE-150EE8939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0.87229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70250"/>
          <a:ext cx="6126480" cy="456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May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257177</xdr:colOff>
      <xdr:row>0</xdr:row>
      <xdr:rowOff>50801</xdr:rowOff>
    </xdr:from>
    <xdr:to>
      <xdr:col>16</xdr:col>
      <xdr:colOff>131234</xdr:colOff>
      <xdr:row>22</xdr:row>
      <xdr:rowOff>149692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8DA4AF7-5A59-4E00-965C-C398E21C8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0.87229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70250"/>
          <a:ext cx="6126480" cy="456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May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workbookViewId="0"/>
  </sheetViews>
  <sheetFormatPr defaultColWidth="9.6640625" defaultRowHeight="13.8"/>
  <cols>
    <col min="1" max="1" width="166.88671875" style="13" bestFit="1" customWidth="1"/>
    <col min="2" max="16384" width="9.6640625" style="1"/>
  </cols>
  <sheetData>
    <row r="1" spans="1:3">
      <c r="A1" s="8" t="s">
        <v>0</v>
      </c>
      <c r="B1" s="130"/>
      <c r="C1" s="130"/>
    </row>
    <row r="2" spans="1:3" s="2" customFormat="1">
      <c r="A2" s="9"/>
    </row>
    <row r="3" spans="1:3">
      <c r="A3" s="11" t="s">
        <v>1</v>
      </c>
      <c r="B3" s="3"/>
      <c r="C3" s="2"/>
    </row>
    <row r="4" spans="1:3">
      <c r="A4" s="11" t="s">
        <v>2</v>
      </c>
      <c r="B4" s="4"/>
      <c r="C4" s="130"/>
    </row>
    <row r="5" spans="1:3">
      <c r="A5" s="11" t="s">
        <v>3</v>
      </c>
      <c r="B5" s="4"/>
      <c r="C5" s="130"/>
    </row>
    <row r="6" spans="1:3">
      <c r="A6" s="11" t="s">
        <v>4</v>
      </c>
      <c r="B6" s="4"/>
      <c r="C6" s="130"/>
    </row>
    <row r="7" spans="1:3">
      <c r="A7" s="11" t="s">
        <v>5</v>
      </c>
      <c r="B7" s="4"/>
      <c r="C7" s="130"/>
    </row>
    <row r="8" spans="1:3">
      <c r="A8" s="11" t="s">
        <v>6</v>
      </c>
      <c r="B8" s="4"/>
      <c r="C8" s="130"/>
    </row>
    <row r="9" spans="1:3">
      <c r="A9" s="11" t="s">
        <v>7</v>
      </c>
      <c r="B9" s="4"/>
      <c r="C9" s="130"/>
    </row>
    <row r="10" spans="1:3">
      <c r="A10" s="11" t="s">
        <v>8</v>
      </c>
      <c r="B10" s="4"/>
      <c r="C10" s="130"/>
    </row>
    <row r="11" spans="1:3">
      <c r="A11" s="11" t="s">
        <v>9</v>
      </c>
      <c r="B11" s="4"/>
      <c r="C11" s="130"/>
    </row>
    <row r="12" spans="1:3">
      <c r="A12" s="11" t="s">
        <v>10</v>
      </c>
      <c r="B12" s="4"/>
      <c r="C12" s="130"/>
    </row>
    <row r="13" spans="1:3">
      <c r="A13" s="12" t="s">
        <v>11</v>
      </c>
      <c r="B13" s="4"/>
      <c r="C13" s="130"/>
    </row>
    <row r="14" spans="1:3" ht="13.2">
      <c r="A14" s="130"/>
      <c r="B14" s="130"/>
      <c r="C14" s="130"/>
    </row>
    <row r="15" spans="1:3">
      <c r="A15" s="8" t="s">
        <v>12</v>
      </c>
      <c r="B15" s="131"/>
      <c r="C15" s="130"/>
    </row>
    <row r="16" spans="1:3">
      <c r="A16" s="10">
        <f ca="1">TODAY()</f>
        <v>44694</v>
      </c>
      <c r="B16" s="130"/>
      <c r="C16" s="130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9"/>
  <sheetViews>
    <sheetView showGridLines="0" zoomScale="70" zoomScaleNormal="70" workbookViewId="0"/>
  </sheetViews>
  <sheetFormatPr defaultColWidth="9.109375" defaultRowHeight="13.2"/>
  <cols>
    <col min="1" max="1" width="21.6640625" style="18" customWidth="1"/>
    <col min="2" max="2" width="14.109375" style="18" bestFit="1" customWidth="1"/>
    <col min="3" max="3" width="9.5546875" style="18" customWidth="1"/>
    <col min="4" max="4" width="26.6640625" style="18" customWidth="1"/>
    <col min="5" max="5" width="9.6640625" style="18" customWidth="1"/>
    <col min="6" max="6" width="10.6640625" style="18" customWidth="1"/>
    <col min="7" max="7" width="8.6640625" style="18" bestFit="1" customWidth="1"/>
    <col min="8" max="8" width="9.6640625" style="18" customWidth="1"/>
    <col min="9" max="9" width="1.6640625" style="18" customWidth="1"/>
    <col min="10" max="10" width="9.6640625" style="18" customWidth="1"/>
    <col min="11" max="12" width="10.6640625" style="18" customWidth="1"/>
    <col min="13" max="13" width="10.33203125" style="18" customWidth="1"/>
    <col min="14" max="14" width="9.6640625" style="18" customWidth="1"/>
    <col min="15" max="16" width="9.109375" style="18"/>
    <col min="17" max="17" width="15.44140625" style="18" bestFit="1" customWidth="1"/>
    <col min="18" max="18" width="10.109375" style="18" bestFit="1" customWidth="1"/>
    <col min="19" max="16384" width="9.109375" style="18"/>
  </cols>
  <sheetData>
    <row r="1" spans="1:23" ht="13.8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23" ht="13.8">
      <c r="A2" s="19"/>
      <c r="B2" s="20" t="s">
        <v>13</v>
      </c>
      <c r="C2" s="155"/>
      <c r="D2" s="21" t="s">
        <v>14</v>
      </c>
      <c r="E2" s="22"/>
      <c r="F2" s="155" t="s">
        <v>15</v>
      </c>
      <c r="G2" s="155"/>
      <c r="H2" s="155"/>
      <c r="I2" s="23"/>
      <c r="J2" s="22"/>
      <c r="K2" s="155"/>
      <c r="L2" s="24" t="s">
        <v>16</v>
      </c>
      <c r="M2" s="155"/>
      <c r="N2" s="19"/>
    </row>
    <row r="3" spans="1:23" ht="13.8">
      <c r="A3" s="19" t="s">
        <v>17</v>
      </c>
      <c r="B3" s="21" t="s">
        <v>18</v>
      </c>
      <c r="C3" s="19" t="s">
        <v>19</v>
      </c>
      <c r="D3" s="21"/>
      <c r="E3" s="25" t="s">
        <v>20</v>
      </c>
      <c r="F3" s="25"/>
      <c r="G3" s="25"/>
      <c r="H3" s="25"/>
      <c r="I3" s="25"/>
      <c r="J3" s="21" t="s">
        <v>21</v>
      </c>
      <c r="K3" s="25" t="s">
        <v>22</v>
      </c>
      <c r="L3" s="25"/>
      <c r="M3" s="25"/>
      <c r="N3" s="25" t="s">
        <v>23</v>
      </c>
    </row>
    <row r="4" spans="1:23" ht="13.8">
      <c r="A4" s="26" t="s">
        <v>24</v>
      </c>
      <c r="B4" s="27"/>
      <c r="C4" s="27"/>
      <c r="D4" s="27"/>
      <c r="E4" s="28" t="s">
        <v>25</v>
      </c>
      <c r="F4" s="28" t="s">
        <v>26</v>
      </c>
      <c r="G4" s="29" t="s">
        <v>27</v>
      </c>
      <c r="H4" s="30" t="s">
        <v>28</v>
      </c>
      <c r="I4" s="29"/>
      <c r="J4" s="29"/>
      <c r="K4" s="29" t="s">
        <v>29</v>
      </c>
      <c r="L4" s="30" t="s">
        <v>30</v>
      </c>
      <c r="M4" s="28" t="s">
        <v>28</v>
      </c>
      <c r="N4" s="29" t="s">
        <v>25</v>
      </c>
      <c r="W4" s="31"/>
    </row>
    <row r="5" spans="1:23" ht="14.4">
      <c r="A5" s="19"/>
      <c r="B5" s="32" t="s">
        <v>31</v>
      </c>
      <c r="C5" s="156"/>
      <c r="D5" s="33" t="s">
        <v>32</v>
      </c>
      <c r="G5" s="32"/>
      <c r="I5" s="32"/>
      <c r="J5" s="32" t="s">
        <v>33</v>
      </c>
      <c r="K5" s="32"/>
      <c r="L5" s="32"/>
      <c r="M5" s="32"/>
      <c r="N5" s="32"/>
      <c r="W5" s="31"/>
    </row>
    <row r="6" spans="1:23" ht="16.5" customHeight="1">
      <c r="A6" s="19" t="s">
        <v>35</v>
      </c>
      <c r="B6" s="34">
        <v>83.353999999999999</v>
      </c>
      <c r="C6" s="34">
        <v>82.602999999999994</v>
      </c>
      <c r="D6" s="34">
        <f>F6/C6</f>
        <v>51.042964541239421</v>
      </c>
      <c r="E6" s="35">
        <f>E14</f>
        <v>524.54100000000005</v>
      </c>
      <c r="F6" s="36">
        <f>F27</f>
        <v>4216.3019999999997</v>
      </c>
      <c r="G6" s="37">
        <f>G27</f>
        <v>19.838438342399996</v>
      </c>
      <c r="H6" s="37">
        <f>SUM(E6:G6)</f>
        <v>4760.6814383423998</v>
      </c>
      <c r="I6" s="19"/>
      <c r="J6" s="36">
        <f>J27</f>
        <v>2140.6021535309255</v>
      </c>
      <c r="K6" s="36">
        <f t="shared" ref="K6:K8" si="0">M6-L6-J6</f>
        <v>102.5292367522743</v>
      </c>
      <c r="L6" s="37">
        <f>L27</f>
        <v>2260.5710480591997</v>
      </c>
      <c r="M6" s="37">
        <f>H6-N6</f>
        <v>4503.7024383423995</v>
      </c>
      <c r="N6" s="37">
        <f>N26</f>
        <v>256.97899999999998</v>
      </c>
    </row>
    <row r="7" spans="1:23" ht="16.5" customHeight="1">
      <c r="A7" s="19" t="s">
        <v>171</v>
      </c>
      <c r="B7" s="34">
        <v>87.194999999999993</v>
      </c>
      <c r="C7" s="34">
        <v>86.331999999999994</v>
      </c>
      <c r="D7" s="34">
        <f>F7/C7</f>
        <v>51.374137052309692</v>
      </c>
      <c r="E7" s="35">
        <f>N6</f>
        <v>256.97899999999998</v>
      </c>
      <c r="F7" s="36">
        <v>4435.232</v>
      </c>
      <c r="G7" s="37">
        <v>15</v>
      </c>
      <c r="H7" s="37">
        <f>SUM(E7:G7)</f>
        <v>4707.2110000000002</v>
      </c>
      <c r="I7" s="19"/>
      <c r="J7" s="36">
        <v>2215</v>
      </c>
      <c r="K7" s="36">
        <f t="shared" si="0"/>
        <v>117.27913458217699</v>
      </c>
      <c r="L7" s="37">
        <v>2140</v>
      </c>
      <c r="M7" s="37">
        <f>H7-N7</f>
        <v>4472.279134582177</v>
      </c>
      <c r="N7" s="37">
        <v>234.93186541782325</v>
      </c>
    </row>
    <row r="8" spans="1:23" ht="16.5" customHeight="1">
      <c r="A8" s="19" t="s">
        <v>172</v>
      </c>
      <c r="B8" s="34">
        <v>90.954999999999998</v>
      </c>
      <c r="C8" s="34">
        <v>90.1</v>
      </c>
      <c r="D8" s="34">
        <f>F8/C8</f>
        <v>51.498335183129861</v>
      </c>
      <c r="E8" s="35">
        <f>N7</f>
        <v>234.93186541782325</v>
      </c>
      <c r="F8" s="36">
        <v>4640</v>
      </c>
      <c r="G8" s="37">
        <v>15</v>
      </c>
      <c r="H8" s="37">
        <f>SUM(E8:G8)</f>
        <v>4889.9318654178232</v>
      </c>
      <c r="I8" s="19"/>
      <c r="J8" s="36">
        <v>2255</v>
      </c>
      <c r="K8" s="36">
        <f t="shared" si="0"/>
        <v>125.37208249388823</v>
      </c>
      <c r="L8" s="37">
        <v>2200</v>
      </c>
      <c r="M8" s="37">
        <f>H8-N8</f>
        <v>4580.3720824938882</v>
      </c>
      <c r="N8" s="37">
        <v>309.55978292393502</v>
      </c>
    </row>
    <row r="9" spans="1:23" ht="16.5" customHeight="1">
      <c r="A9" s="23"/>
      <c r="B9" s="23"/>
      <c r="C9" s="23"/>
      <c r="D9" s="23"/>
      <c r="E9" s="38"/>
      <c r="F9" s="38"/>
      <c r="G9" s="39"/>
      <c r="H9" s="38"/>
      <c r="I9" s="38"/>
      <c r="J9" s="39"/>
      <c r="K9" s="39"/>
      <c r="L9" s="39"/>
      <c r="M9" s="39"/>
      <c r="N9" s="39"/>
    </row>
    <row r="10" spans="1:23" ht="16.5" customHeight="1">
      <c r="A10" s="41" t="s">
        <v>35</v>
      </c>
      <c r="B10" s="132"/>
      <c r="C10" s="132"/>
      <c r="D10" s="132"/>
      <c r="E10" s="43"/>
      <c r="F10" s="44"/>
      <c r="G10" s="7"/>
      <c r="H10" s="14"/>
      <c r="I10" s="132"/>
      <c r="J10" s="14"/>
      <c r="K10" s="45"/>
      <c r="L10" s="7"/>
      <c r="M10" s="7"/>
      <c r="N10" s="14"/>
    </row>
    <row r="11" spans="1:23" ht="16.5" customHeight="1">
      <c r="A11" s="23" t="s">
        <v>36</v>
      </c>
      <c r="B11" s="132"/>
      <c r="C11" s="132"/>
      <c r="D11" s="132"/>
      <c r="E11" s="43"/>
      <c r="F11" s="44"/>
      <c r="G11" s="7">
        <f>(44527.6*36.744)/1000000</f>
        <v>1.6361221343999999</v>
      </c>
      <c r="I11" s="132"/>
      <c r="J11" s="14">
        <f>((5131665*0.907185)*36.744)/1000000</f>
        <v>171.05689738659061</v>
      </c>
      <c r="K11" s="42"/>
      <c r="L11" s="7">
        <f>(7191284.4*36.744)/1000000</f>
        <v>264.23655399360001</v>
      </c>
      <c r="M11" s="7"/>
      <c r="N11" s="14"/>
    </row>
    <row r="12" spans="1:23" ht="16.5" customHeight="1">
      <c r="A12" s="23" t="s">
        <v>37</v>
      </c>
      <c r="B12" s="132"/>
      <c r="C12" s="132"/>
      <c r="D12" s="132"/>
      <c r="E12" s="46"/>
      <c r="F12" s="44"/>
      <c r="G12" s="7">
        <f>(24879.1*36.744)/1000000</f>
        <v>0.91415765039999997</v>
      </c>
      <c r="I12" s="132"/>
      <c r="J12" s="14">
        <f>((5897079*0.907185)*36.744)/1000000</f>
        <v>196.57090581392558</v>
      </c>
      <c r="K12" s="42"/>
      <c r="L12" s="7">
        <f>(11636404.4*36.744)/1000000</f>
        <v>427.56804327359998</v>
      </c>
      <c r="M12" s="7"/>
      <c r="N12" s="14"/>
    </row>
    <row r="13" spans="1:23" ht="16.5" customHeight="1">
      <c r="A13" s="23" t="s">
        <v>38</v>
      </c>
      <c r="B13" s="132"/>
      <c r="C13" s="132"/>
      <c r="D13" s="132"/>
      <c r="E13" s="46"/>
      <c r="F13" s="44"/>
      <c r="G13" s="7">
        <f>(12431.7*36.744)/1000000</f>
        <v>0.4567903848</v>
      </c>
      <c r="I13" s="132"/>
      <c r="J13" s="14">
        <f>((5731207*0.907185)*36.744)/1000000</f>
        <v>191.04179397920748</v>
      </c>
      <c r="K13" s="42"/>
      <c r="L13" s="7">
        <f>(10867331.6*36.744)/1000000</f>
        <v>399.30923231040003</v>
      </c>
      <c r="M13" s="7"/>
      <c r="N13" s="14"/>
    </row>
    <row r="14" spans="1:23" ht="16.5" customHeight="1">
      <c r="A14" s="23" t="s">
        <v>39</v>
      </c>
      <c r="B14" s="132"/>
      <c r="C14" s="132"/>
      <c r="D14" s="132"/>
      <c r="E14" s="43">
        <v>524.54100000000005</v>
      </c>
      <c r="F14" s="44">
        <v>4216.3019999999997</v>
      </c>
      <c r="G14" s="7">
        <f>G11+G12+G13</f>
        <v>3.0070701696</v>
      </c>
      <c r="H14" s="14">
        <f>E14+F14+G14</f>
        <v>4743.8500701696003</v>
      </c>
      <c r="I14" s="132"/>
      <c r="J14" s="14">
        <f>J11+J12+J13</f>
        <v>558.66959717972361</v>
      </c>
      <c r="K14" s="42">
        <f>M14-L14-J14</f>
        <v>147.32664341227689</v>
      </c>
      <c r="L14" s="7">
        <f>L11+L12+L13</f>
        <v>1091.1138295776</v>
      </c>
      <c r="M14" s="7">
        <f>H14-N14</f>
        <v>1797.1100701696005</v>
      </c>
      <c r="N14" s="14">
        <v>2946.74</v>
      </c>
    </row>
    <row r="15" spans="1:23" ht="16.95" customHeight="1">
      <c r="A15" s="19" t="s">
        <v>40</v>
      </c>
      <c r="B15" s="132"/>
      <c r="C15" s="132"/>
      <c r="D15" s="132"/>
      <c r="E15" s="43"/>
      <c r="F15" s="7"/>
      <c r="G15" s="7">
        <f>(23426.8*36.744)/1000000</f>
        <v>0.86079433919999992</v>
      </c>
      <c r="H15" s="14"/>
      <c r="I15" s="132"/>
      <c r="J15" s="14">
        <f>((5794233*0.907185)*36.744)/1000000</f>
        <v>193.14267780827416</v>
      </c>
      <c r="K15" s="42"/>
      <c r="L15" s="7">
        <f>(10445198.5*36.744)/1000000</f>
        <v>383.79837368400001</v>
      </c>
      <c r="M15" s="7"/>
      <c r="N15" s="14"/>
    </row>
    <row r="16" spans="1:23" ht="16.95" customHeight="1">
      <c r="A16" s="19" t="s">
        <v>41</v>
      </c>
      <c r="B16" s="132"/>
      <c r="C16" s="132"/>
      <c r="D16" s="132"/>
      <c r="E16" s="43"/>
      <c r="F16" s="7"/>
      <c r="G16" s="7">
        <f>(19638*36.744)/1000000</f>
        <v>0.72157867200000003</v>
      </c>
      <c r="H16" s="14"/>
      <c r="I16" s="132"/>
      <c r="J16" s="14">
        <f>((5895360*0.907185)*36.744)/1000000</f>
        <v>196.5136053458304</v>
      </c>
      <c r="K16" s="42"/>
      <c r="L16" s="7">
        <f>(8696539.6*36.744)/1000000</f>
        <v>319.5456510624</v>
      </c>
      <c r="M16" s="7"/>
      <c r="N16" s="14"/>
    </row>
    <row r="17" spans="1:14" ht="16.95" customHeight="1">
      <c r="A17" s="19" t="s">
        <v>42</v>
      </c>
      <c r="B17" s="132"/>
      <c r="C17" s="132"/>
      <c r="D17" s="132"/>
      <c r="E17" s="43"/>
      <c r="F17" s="7"/>
      <c r="G17" s="7">
        <f>(22552.9*36.744)/1000000</f>
        <v>0.82868375760000001</v>
      </c>
      <c r="H17" s="14"/>
      <c r="I17" s="132"/>
      <c r="J17" s="14">
        <f>((4930499*0.907185)*36.744)/1000000</f>
        <v>164.35130927441435</v>
      </c>
      <c r="K17" s="42"/>
      <c r="L17" s="7">
        <f>(4558707.1*36.744)/1000000</f>
        <v>167.50513368239999</v>
      </c>
      <c r="M17" s="7"/>
      <c r="N17" s="14"/>
    </row>
    <row r="18" spans="1:14" ht="16.95" customHeight="1">
      <c r="A18" s="19" t="s">
        <v>43</v>
      </c>
      <c r="B18" s="132"/>
      <c r="C18" s="132"/>
      <c r="D18" s="132"/>
      <c r="E18" s="43">
        <f>N14</f>
        <v>2946.74</v>
      </c>
      <c r="F18" s="7"/>
      <c r="G18" s="7">
        <f>SUM(G15:G17)</f>
        <v>2.4110567688</v>
      </c>
      <c r="H18" s="14">
        <f>E18+F18+G18</f>
        <v>2949.1510567687997</v>
      </c>
      <c r="I18" s="132"/>
      <c r="J18" s="14">
        <f>SUM(J15:J17)</f>
        <v>554.00759242851893</v>
      </c>
      <c r="K18" s="42">
        <f>M18-L18-J18</f>
        <v>-37.389694088519263</v>
      </c>
      <c r="L18" s="7">
        <f>SUM(L15:L17)</f>
        <v>870.84915842880002</v>
      </c>
      <c r="M18" s="7">
        <f>H18-N18</f>
        <v>1387.4670567687997</v>
      </c>
      <c r="N18" s="14">
        <v>1561.684</v>
      </c>
    </row>
    <row r="19" spans="1:14" ht="16.95" customHeight="1">
      <c r="A19" s="19" t="s">
        <v>44</v>
      </c>
      <c r="B19" s="132"/>
      <c r="C19" s="132"/>
      <c r="D19" s="132"/>
      <c r="E19" s="43"/>
      <c r="F19" s="7"/>
      <c r="G19" s="7">
        <f>(26142.7*36.744)/1000000</f>
        <v>0.96058736880000006</v>
      </c>
      <c r="H19" s="14"/>
      <c r="I19" s="132"/>
      <c r="J19" s="14">
        <f>((5646728*0.907185)*36.744)/1000000</f>
        <v>188.22580430834591</v>
      </c>
      <c r="K19" s="42"/>
      <c r="L19" s="7">
        <f>(2295121.8*36.744)/1000000</f>
        <v>84.331955419199986</v>
      </c>
      <c r="M19" s="7"/>
      <c r="N19" s="47"/>
    </row>
    <row r="20" spans="1:14" ht="16.95" customHeight="1">
      <c r="A20" s="19" t="s">
        <v>45</v>
      </c>
      <c r="B20" s="132"/>
      <c r="C20" s="132"/>
      <c r="D20" s="132"/>
      <c r="E20" s="43"/>
      <c r="F20" s="7"/>
      <c r="G20" s="7">
        <f>(34734.1*36.744)/1000000</f>
        <v>1.2762697704000001</v>
      </c>
      <c r="H20" s="14"/>
      <c r="I20" s="132"/>
      <c r="J20" s="14">
        <f>((5095631*0.907185)*36.744)/1000000</f>
        <v>169.85575424095885</v>
      </c>
      <c r="K20" s="42"/>
      <c r="L20" s="7">
        <f>(1384924.4*36.744)/1000000</f>
        <v>50.887662153599997</v>
      </c>
      <c r="M20" s="7"/>
      <c r="N20" s="47"/>
    </row>
    <row r="21" spans="1:14" ht="16.95" customHeight="1">
      <c r="A21" s="19" t="s">
        <v>46</v>
      </c>
      <c r="B21" s="132"/>
      <c r="C21" s="132"/>
      <c r="D21" s="132"/>
      <c r="E21" s="43"/>
      <c r="F21" s="7"/>
      <c r="G21" s="7">
        <f>(51046.1*36.744)/1000000</f>
        <v>1.8756378983999997</v>
      </c>
      <c r="H21" s="14"/>
      <c r="I21" s="132"/>
      <c r="J21" s="14">
        <f>((5205032*0.907185)*36.744)/1000000</f>
        <v>173.50248403158051</v>
      </c>
      <c r="K21" s="42"/>
      <c r="L21" s="7">
        <f>(1266685.1*36.744)/1000000</f>
        <v>46.543077314400001</v>
      </c>
      <c r="M21" s="7"/>
      <c r="N21" s="47"/>
    </row>
    <row r="22" spans="1:14" ht="16.95" customHeight="1">
      <c r="A22" s="19" t="s">
        <v>47</v>
      </c>
      <c r="B22" s="132"/>
      <c r="C22" s="132"/>
      <c r="D22" s="132"/>
      <c r="E22" s="43">
        <f>N18</f>
        <v>1561.684</v>
      </c>
      <c r="F22" s="7"/>
      <c r="G22" s="7">
        <f>SUM(G19:G21)</f>
        <v>4.1124950375999996</v>
      </c>
      <c r="H22" s="14">
        <f>E22+F22+G22</f>
        <v>1565.7964950375999</v>
      </c>
      <c r="I22" s="132"/>
      <c r="J22" s="15">
        <f>SUM(J19:J21)</f>
        <v>531.58404258088524</v>
      </c>
      <c r="K22" s="42">
        <f>M22-L22-J22</f>
        <v>83.409757569514682</v>
      </c>
      <c r="L22" s="7">
        <f>SUM(L19:L21)</f>
        <v>181.76269488719998</v>
      </c>
      <c r="M22" s="7">
        <f>H22-N22</f>
        <v>796.75649503759996</v>
      </c>
      <c r="N22" s="14">
        <v>769.04</v>
      </c>
    </row>
    <row r="23" spans="1:14" ht="16.95" customHeight="1">
      <c r="A23" s="19" t="s">
        <v>48</v>
      </c>
      <c r="B23" s="132"/>
      <c r="C23" s="132"/>
      <c r="D23" s="132"/>
      <c r="E23" s="43"/>
      <c r="F23" s="7"/>
      <c r="G23" s="7">
        <f>(205436.7*36.744)/1000000</f>
        <v>7.5485661048000008</v>
      </c>
      <c r="H23" s="14"/>
      <c r="I23" s="132"/>
      <c r="J23" s="15">
        <f>((4852334*0.907185)*36.744)/1000000</f>
        <v>161.74578798956375</v>
      </c>
      <c r="K23" s="42"/>
      <c r="L23" s="7">
        <f>(925497.6*36.744)/1000000</f>
        <v>34.006483814399999</v>
      </c>
      <c r="M23" s="7"/>
      <c r="N23" s="14"/>
    </row>
    <row r="24" spans="1:14" ht="16.95" customHeight="1">
      <c r="A24" s="19" t="s">
        <v>49</v>
      </c>
      <c r="B24" s="132"/>
      <c r="C24" s="132"/>
      <c r="D24" s="132"/>
      <c r="E24" s="43"/>
      <c r="F24" s="7"/>
      <c r="G24" s="7">
        <f>(59776.6*36.744)/1000000</f>
        <v>2.1964313903999999</v>
      </c>
      <c r="H24" s="14"/>
      <c r="I24" s="132"/>
      <c r="J24" s="15">
        <f>((4989996*0.907185)*36.744)/1000000</f>
        <v>166.33455880917742</v>
      </c>
      <c r="K24" s="42"/>
      <c r="L24" s="7">
        <f>(945804.5*36.744)/1000000</f>
        <v>34.752640548000002</v>
      </c>
      <c r="M24" s="7"/>
      <c r="N24" s="14"/>
    </row>
    <row r="25" spans="1:14" ht="16.95" customHeight="1">
      <c r="A25" s="19" t="s">
        <v>50</v>
      </c>
      <c r="B25" s="132"/>
      <c r="C25" s="132"/>
      <c r="D25" s="132"/>
      <c r="E25" s="43"/>
      <c r="F25" s="7"/>
      <c r="G25" s="7">
        <f>(15317.3*36.744)/1000000</f>
        <v>0.56281887119999996</v>
      </c>
      <c r="H25" s="14"/>
      <c r="I25" s="132"/>
      <c r="J25" s="15">
        <f>((5047776*0.907185)*36.744)/1000000</f>
        <v>168.26057454305666</v>
      </c>
      <c r="K25" s="42"/>
      <c r="L25" s="7">
        <f>(1308682.8*36.744)/1000000</f>
        <v>48.086240803199999</v>
      </c>
      <c r="M25" s="7"/>
      <c r="N25" s="14"/>
    </row>
    <row r="26" spans="1:14" ht="16.95" customHeight="1">
      <c r="A26" s="19" t="s">
        <v>51</v>
      </c>
      <c r="B26" s="132"/>
      <c r="C26" s="132"/>
      <c r="D26" s="132"/>
      <c r="E26" s="43">
        <f>N22</f>
        <v>769.04</v>
      </c>
      <c r="F26" s="7"/>
      <c r="G26" s="7">
        <f>SUM(G23:G25)</f>
        <v>10.307816366399999</v>
      </c>
      <c r="H26" s="14">
        <f>E26+F26+G26</f>
        <v>779.34781636639991</v>
      </c>
      <c r="I26" s="132"/>
      <c r="J26" s="15">
        <f>SUM(J23:J25)</f>
        <v>496.34092134179787</v>
      </c>
      <c r="K26" s="45">
        <f>M26-L26-J26</f>
        <v>-90.817470140998012</v>
      </c>
      <c r="L26" s="7">
        <f>SUM(L23:L25)</f>
        <v>116.8453651656</v>
      </c>
      <c r="M26" s="7">
        <f>H26-N26</f>
        <v>522.36881636639987</v>
      </c>
      <c r="N26" s="14">
        <v>256.97899999999998</v>
      </c>
    </row>
    <row r="27" spans="1:14" s="59" customFormat="1" ht="16.5" customHeight="1">
      <c r="A27" s="23" t="s">
        <v>28</v>
      </c>
      <c r="B27" s="132"/>
      <c r="C27" s="132"/>
      <c r="D27" s="132"/>
      <c r="E27" s="43"/>
      <c r="F27" s="44">
        <f>F14</f>
        <v>4216.3019999999997</v>
      </c>
      <c r="G27" s="7">
        <f>G14+G18+G22+G26</f>
        <v>19.838438342399996</v>
      </c>
      <c r="H27" s="14">
        <f>E14+F27+G27</f>
        <v>4760.6814383423998</v>
      </c>
      <c r="I27" s="132"/>
      <c r="J27" s="14">
        <f>J14+J18+J22+J26</f>
        <v>2140.6021535309255</v>
      </c>
      <c r="K27" s="42">
        <f>SUM(K14,K18,K22,K26)</f>
        <v>102.5292367522743</v>
      </c>
      <c r="L27" s="7">
        <f>L14+L18+L22+L26</f>
        <v>2260.5710480591997</v>
      </c>
      <c r="M27" s="7">
        <f>M14+M18+M22+M26</f>
        <v>4503.7024383424005</v>
      </c>
      <c r="N27" s="14"/>
    </row>
    <row r="28" spans="1:14" ht="16.5" customHeight="1">
      <c r="A28" s="23"/>
      <c r="B28" s="132"/>
      <c r="C28" s="132"/>
      <c r="D28" s="132"/>
      <c r="E28" s="43"/>
      <c r="F28" s="44"/>
      <c r="G28" s="7"/>
      <c r="H28" s="14"/>
      <c r="I28" s="132"/>
      <c r="J28" s="14"/>
      <c r="K28" s="42"/>
      <c r="L28" s="7"/>
      <c r="M28" s="7"/>
      <c r="N28" s="14"/>
    </row>
    <row r="29" spans="1:14" ht="16.5" customHeight="1">
      <c r="A29" s="55" t="s">
        <v>52</v>
      </c>
      <c r="B29" s="132"/>
      <c r="C29" s="132"/>
      <c r="D29" s="132"/>
      <c r="E29" s="43"/>
      <c r="F29" s="44"/>
      <c r="G29" s="7"/>
      <c r="H29" s="14"/>
      <c r="I29" s="132"/>
      <c r="J29" s="14"/>
      <c r="K29" s="42"/>
      <c r="L29" s="7"/>
      <c r="M29" s="7"/>
      <c r="N29" s="14"/>
    </row>
    <row r="30" spans="1:14" ht="16.5" customHeight="1">
      <c r="A30" s="23" t="s">
        <v>36</v>
      </c>
      <c r="B30" s="132"/>
      <c r="C30" s="132"/>
      <c r="D30" s="132"/>
      <c r="E30" s="43"/>
      <c r="F30" s="44"/>
      <c r="G30" s="7">
        <f>(24320.3*36.744)/1000000</f>
        <v>0.89362510319999999</v>
      </c>
      <c r="I30" s="132"/>
      <c r="J30" s="14">
        <f>((4924574*0.907185)*36.744)/1000000</f>
        <v>164.15380766099736</v>
      </c>
      <c r="K30" s="42"/>
      <c r="L30" s="7">
        <f>(2167640.8*36.744)/1000000</f>
        <v>79.647793555199996</v>
      </c>
      <c r="M30" s="7"/>
      <c r="N30" s="14"/>
    </row>
    <row r="31" spans="1:14" ht="16.5" customHeight="1">
      <c r="A31" s="23" t="s">
        <v>37</v>
      </c>
      <c r="B31" s="132"/>
      <c r="C31" s="132"/>
      <c r="D31" s="132"/>
      <c r="E31" s="43"/>
      <c r="F31" s="44"/>
      <c r="G31" s="7">
        <f>(19235.5*36.744)/1000000</f>
        <v>0.70678921199999989</v>
      </c>
      <c r="I31" s="132"/>
      <c r="J31" s="14">
        <f>((5908157*0.907185)*36.744)/1000000</f>
        <v>196.9401754972055</v>
      </c>
      <c r="K31" s="42"/>
      <c r="L31" s="7">
        <f>(10506970*36.744)/1000000</f>
        <v>386.06810568000003</v>
      </c>
      <c r="M31" s="7"/>
      <c r="N31" s="14"/>
    </row>
    <row r="32" spans="1:14" ht="16.5" customHeight="1">
      <c r="A32" s="23" t="s">
        <v>38</v>
      </c>
      <c r="B32" s="132"/>
      <c r="C32" s="132"/>
      <c r="D32" s="132"/>
      <c r="E32" s="43"/>
      <c r="F32" s="44"/>
      <c r="G32" s="7">
        <f>(34891.5*36.744)/1000000</f>
        <v>1.2820532760000001</v>
      </c>
      <c r="I32" s="132"/>
      <c r="J32" s="14">
        <f>((5717943*0.907185)*36.744)/1000000</f>
        <v>190.59965703399854</v>
      </c>
      <c r="K32" s="42"/>
      <c r="L32" s="7">
        <f>(10702618.5*36.744)/1000000</f>
        <v>393.257014164</v>
      </c>
      <c r="M32" s="7"/>
      <c r="N32" s="14"/>
    </row>
    <row r="33" spans="1:73" ht="16.5" customHeight="1">
      <c r="A33" s="23" t="s">
        <v>39</v>
      </c>
      <c r="B33" s="132"/>
      <c r="C33" s="132"/>
      <c r="D33" s="132"/>
      <c r="E33" s="43">
        <f>N26</f>
        <v>256.97899999999998</v>
      </c>
      <c r="F33" s="43">
        <v>4435.232</v>
      </c>
      <c r="G33" s="7">
        <f>SUM(G30:G32)</f>
        <v>2.8824675912000002</v>
      </c>
      <c r="H33" s="14">
        <f>SUM(E33:G33)</f>
        <v>4695.0934675912004</v>
      </c>
      <c r="I33" s="132"/>
      <c r="J33" s="14">
        <f>SUM(J30:J32)</f>
        <v>551.69364019220143</v>
      </c>
      <c r="K33" s="42">
        <f>M33-L33-J33</f>
        <v>132.90291399979901</v>
      </c>
      <c r="L33" s="7">
        <f>SUM(L30:L32)</f>
        <v>858.97291339920002</v>
      </c>
      <c r="M33" s="7">
        <f>H33-N33</f>
        <v>1543.5694675912005</v>
      </c>
      <c r="N33" s="14">
        <v>3151.5239999999999</v>
      </c>
    </row>
    <row r="34" spans="1:73" ht="16.5" customHeight="1">
      <c r="A34" s="19" t="s">
        <v>40</v>
      </c>
      <c r="B34" s="132"/>
      <c r="C34" s="132"/>
      <c r="D34" s="132"/>
      <c r="E34" s="43"/>
      <c r="F34" s="43"/>
      <c r="G34" s="7">
        <f>(27875.3*36.744)/1000000</f>
        <v>1.0242500232</v>
      </c>
      <c r="H34" s="14"/>
      <c r="I34" s="132"/>
      <c r="J34" s="14">
        <f>((5947222*0.907185)*36.744)/1000000</f>
        <v>198.24235280153209</v>
      </c>
      <c r="K34" s="42"/>
      <c r="L34" s="7">
        <f>(8108078.4*36.744)/1000000</f>
        <v>297.92323272959999</v>
      </c>
      <c r="M34" s="7"/>
      <c r="N34" s="14"/>
    </row>
    <row r="35" spans="1:73" ht="16.5" customHeight="1">
      <c r="A35" s="19" t="s">
        <v>41</v>
      </c>
      <c r="B35" s="132"/>
      <c r="C35" s="132"/>
      <c r="D35" s="132"/>
      <c r="E35" s="43"/>
      <c r="F35" s="43"/>
      <c r="G35" s="7">
        <f>(23947.4*36.744)/1000000</f>
        <v>0.8799232656</v>
      </c>
      <c r="H35" s="14"/>
      <c r="I35" s="132"/>
      <c r="J35" s="14">
        <f>((5828974*0.907185)*36.744)/1000000</f>
        <v>194.30072060181334</v>
      </c>
      <c r="K35" s="42"/>
      <c r="L35" s="7">
        <f>(6392108.3*36.744)/1000000</f>
        <v>234.87162737520001</v>
      </c>
      <c r="M35" s="7"/>
      <c r="N35" s="14"/>
    </row>
    <row r="36" spans="1:73" ht="16.5" customHeight="1">
      <c r="A36" s="19" t="s">
        <v>42</v>
      </c>
      <c r="B36" s="132"/>
      <c r="C36" s="132"/>
      <c r="D36" s="132"/>
      <c r="E36" s="43"/>
      <c r="F36" s="43"/>
      <c r="G36" s="7">
        <f>(47248.7*36.744)/1000000</f>
        <v>1.7361062327999999</v>
      </c>
      <c r="H36" s="14"/>
      <c r="I36" s="132"/>
      <c r="J36" s="14">
        <f>((5232453*0.907185)*36.744)/1000000</f>
        <v>174.41652483183492</v>
      </c>
      <c r="K36" s="42"/>
      <c r="L36" s="7">
        <f>(3791255.7*36.744)/1000000</f>
        <v>139.3058994408</v>
      </c>
      <c r="M36" s="7"/>
      <c r="N36" s="14"/>
    </row>
    <row r="37" spans="1:73" ht="16.5" customHeight="1">
      <c r="A37" s="19" t="s">
        <v>43</v>
      </c>
      <c r="B37" s="132"/>
      <c r="C37" s="132"/>
      <c r="D37" s="132"/>
      <c r="E37" s="43">
        <f>N33</f>
        <v>3151.5239999999999</v>
      </c>
      <c r="F37" s="43"/>
      <c r="G37" s="7">
        <f>SUM(G34:G36)</f>
        <v>3.6402795216000001</v>
      </c>
      <c r="H37" s="14">
        <f>E37+F37+G37</f>
        <v>3155.1642795215998</v>
      </c>
      <c r="I37" s="132"/>
      <c r="J37" s="14">
        <f>SUM(J34:J36)</f>
        <v>566.95959823518035</v>
      </c>
      <c r="K37" s="42">
        <f>M37-L37-J37</f>
        <v>-15.109078259180478</v>
      </c>
      <c r="L37" s="7">
        <f>SUM(L34:L36)</f>
        <v>672.1007595456</v>
      </c>
      <c r="M37" s="7">
        <f>H37-N37</f>
        <v>1223.9512795215999</v>
      </c>
      <c r="N37" s="14">
        <v>1931.213</v>
      </c>
    </row>
    <row r="38" spans="1:73" ht="16.5" customHeight="1">
      <c r="A38" s="19" t="s">
        <v>44</v>
      </c>
      <c r="B38" s="132"/>
      <c r="C38" s="132"/>
      <c r="D38" s="132"/>
      <c r="E38" s="43"/>
      <c r="F38" s="43"/>
      <c r="G38" s="7">
        <f>(33665.9*36.744)/1000000</f>
        <v>1.2370198296000001</v>
      </c>
      <c r="H38" s="14"/>
      <c r="I38" s="132"/>
      <c r="J38" s="14">
        <f>((5786159*0.907185)*36.744)/1000000</f>
        <v>192.87354227633676</v>
      </c>
      <c r="K38" s="42"/>
      <c r="L38" s="7">
        <f>(3184420.8*36.744)/1000000</f>
        <v>117.00835787519999</v>
      </c>
      <c r="M38" s="7"/>
      <c r="N38" s="14"/>
    </row>
    <row r="39" spans="1:73" ht="16.5" customHeight="1">
      <c r="A39" s="23" t="s">
        <v>28</v>
      </c>
      <c r="B39" s="132"/>
      <c r="C39" s="132"/>
      <c r="D39" s="132"/>
      <c r="E39" s="43"/>
      <c r="F39" s="43"/>
      <c r="G39" s="7">
        <f>SUM(G33,G37,G38)</f>
        <v>7.7597669424000006</v>
      </c>
      <c r="H39" s="14"/>
      <c r="I39" s="132"/>
      <c r="J39" s="14">
        <f>SUM(J33,J37,J38)</f>
        <v>1311.5267807037187</v>
      </c>
      <c r="K39" s="42"/>
      <c r="L39" s="7">
        <f>SUM(L33,L37,L38)</f>
        <v>1648.08203082</v>
      </c>
      <c r="M39" s="7"/>
      <c r="N39" s="14"/>
    </row>
    <row r="40" spans="1:73" ht="16.5" customHeight="1">
      <c r="A40" s="123" t="s">
        <v>53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24"/>
      <c r="M40" s="100"/>
      <c r="N40" s="100"/>
    </row>
    <row r="41" spans="1:73" ht="16.5" customHeight="1">
      <c r="A41" s="19" t="s">
        <v>54</v>
      </c>
      <c r="B41" s="19"/>
      <c r="C41" s="19"/>
      <c r="D41" s="19"/>
      <c r="E41" s="49"/>
      <c r="F41" s="49"/>
      <c r="G41" s="49"/>
      <c r="H41" s="49"/>
      <c r="I41" s="49"/>
      <c r="J41" s="49"/>
      <c r="K41" s="49"/>
      <c r="L41" s="49"/>
      <c r="M41" s="49"/>
      <c r="N41" s="49"/>
    </row>
    <row r="42" spans="1:73" ht="16.5" customHeight="1">
      <c r="A42" s="25" t="s">
        <v>55</v>
      </c>
      <c r="B42" s="50">
        <f ca="1">NOW()</f>
        <v>44694.651039583332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33"/>
      <c r="P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</row>
    <row r="43" spans="1:73">
      <c r="O43" s="133"/>
      <c r="P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</row>
    <row r="44" spans="1:73">
      <c r="O44" s="133"/>
      <c r="P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</row>
    <row r="45" spans="1:73">
      <c r="O45" s="133"/>
      <c r="P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</row>
    <row r="46" spans="1:73">
      <c r="F46" s="51"/>
      <c r="O46" s="133"/>
      <c r="P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</row>
    <row r="47" spans="1:73">
      <c r="O47" s="133"/>
      <c r="P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</row>
    <row r="48" spans="1:73">
      <c r="O48" s="133"/>
      <c r="P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</row>
    <row r="49" spans="15:73">
      <c r="O49" s="133"/>
      <c r="P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</row>
    <row r="50" spans="15:73">
      <c r="O50" s="133"/>
      <c r="P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</row>
    <row r="51" spans="15:73">
      <c r="O51" s="133"/>
      <c r="P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</row>
    <row r="52" spans="15:73">
      <c r="O52" s="133"/>
      <c r="P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</row>
    <row r="53" spans="15:73">
      <c r="O53" s="133"/>
      <c r="P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</row>
    <row r="54" spans="15:73">
      <c r="O54" s="133"/>
      <c r="P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</row>
    <row r="55" spans="15:73">
      <c r="O55" s="133"/>
      <c r="P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</row>
    <row r="56" spans="15:73">
      <c r="O56" s="133"/>
      <c r="P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</row>
    <row r="57" spans="15:73">
      <c r="O57" s="133"/>
      <c r="P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</row>
    <row r="58" spans="15:73">
      <c r="O58" s="133"/>
      <c r="P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</row>
    <row r="59" spans="15:73">
      <c r="O59" s="133"/>
      <c r="P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</row>
    <row r="60" spans="15:73">
      <c r="O60" s="133"/>
      <c r="P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</row>
    <row r="61" spans="15:73">
      <c r="O61" s="133"/>
      <c r="P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</row>
    <row r="62" spans="15:73">
      <c r="O62" s="133"/>
      <c r="P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</row>
    <row r="63" spans="15:73">
      <c r="O63" s="133"/>
      <c r="P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</row>
    <row r="64" spans="15:73">
      <c r="O64" s="133"/>
      <c r="P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</row>
    <row r="65" spans="15:73">
      <c r="O65" s="133"/>
      <c r="P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</row>
    <row r="66" spans="15:73">
      <c r="O66" s="133"/>
      <c r="P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</row>
    <row r="67" spans="15:73">
      <c r="O67" s="133"/>
      <c r="P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</row>
    <row r="68" spans="15:73">
      <c r="O68" s="133"/>
      <c r="P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</row>
    <row r="69" spans="15:73">
      <c r="O69" s="133"/>
      <c r="P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</row>
    <row r="70" spans="15:73"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</row>
    <row r="71" spans="15:73"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</row>
    <row r="72" spans="15:73"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</row>
    <row r="73" spans="15:73"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</row>
    <row r="74" spans="15:73"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</row>
    <row r="75" spans="15:73"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</row>
    <row r="76" spans="15:73"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</row>
    <row r="77" spans="15:73"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</row>
    <row r="78" spans="15:73"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</row>
    <row r="79" spans="15:73"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</row>
    <row r="80" spans="15:73"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</row>
    <row r="81" spans="15:73"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</row>
    <row r="82" spans="15:73"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</row>
    <row r="83" spans="15:73"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</row>
    <row r="84" spans="15:73"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</row>
    <row r="85" spans="15:73"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</row>
    <row r="86" spans="15:73"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</row>
    <row r="87" spans="15:73"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</row>
    <row r="88" spans="15:73"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</row>
    <row r="89" spans="15:73"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</row>
    <row r="90" spans="15:73"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</row>
    <row r="91" spans="15:73"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</row>
    <row r="92" spans="15:73"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</row>
    <row r="93" spans="15:73"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</row>
    <row r="94" spans="15:73"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</row>
    <row r="95" spans="15:73"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</row>
    <row r="96" spans="15:73"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</row>
    <row r="97" spans="15:73"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</row>
    <row r="98" spans="15:73"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</row>
    <row r="99" spans="15:73"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</row>
    <row r="100" spans="15:73"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</row>
    <row r="101" spans="15:73"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</row>
    <row r="102" spans="15:73"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</row>
    <row r="103" spans="15:73"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</row>
    <row r="104" spans="15:73"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</row>
    <row r="105" spans="15:73"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</row>
    <row r="106" spans="15:73"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</row>
    <row r="107" spans="15:73"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</row>
    <row r="108" spans="15:73"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</row>
    <row r="109" spans="15:73"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3"/>
      <c r="BU109" s="133"/>
    </row>
    <row r="110" spans="15:73"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</row>
    <row r="111" spans="15:73"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</row>
    <row r="112" spans="15:73"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</row>
    <row r="113" spans="15:73"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</row>
    <row r="114" spans="15:73"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</row>
    <row r="115" spans="15:73"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</row>
    <row r="116" spans="15:73"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</row>
    <row r="117" spans="15:73"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</row>
    <row r="118" spans="15:73"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</row>
    <row r="119" spans="15:73"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</row>
    <row r="120" spans="15:73"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</row>
    <row r="121" spans="15:73"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</row>
    <row r="122" spans="15:73"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</row>
    <row r="123" spans="15:73"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  <c r="BU123" s="133"/>
    </row>
    <row r="124" spans="15:73"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3"/>
      <c r="BU124" s="133"/>
    </row>
    <row r="125" spans="15:73"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</row>
    <row r="126" spans="15:73"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  <c r="BS126" s="133"/>
      <c r="BT126" s="133"/>
      <c r="BU126" s="133"/>
    </row>
    <row r="127" spans="15:73"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</row>
    <row r="128" spans="15:73"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</row>
    <row r="129" spans="15:73"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3"/>
      <c r="BU129" s="133"/>
    </row>
    <row r="130" spans="15:73"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3"/>
      <c r="BO130" s="133"/>
      <c r="BP130" s="133"/>
      <c r="BQ130" s="133"/>
      <c r="BR130" s="133"/>
      <c r="BS130" s="133"/>
      <c r="BT130" s="133"/>
      <c r="BU130" s="133"/>
    </row>
    <row r="131" spans="15:73"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  <c r="BS131" s="133"/>
      <c r="BT131" s="133"/>
      <c r="BU131" s="133"/>
    </row>
    <row r="132" spans="15:73"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</row>
    <row r="133" spans="15:73"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3"/>
      <c r="BT133" s="133"/>
      <c r="BU133" s="133"/>
    </row>
    <row r="134" spans="15:73"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3"/>
      <c r="BT134" s="133"/>
      <c r="BU134" s="133"/>
    </row>
    <row r="135" spans="15:73"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3"/>
      <c r="BU135" s="133"/>
    </row>
    <row r="136" spans="15:73"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</row>
    <row r="137" spans="15:73"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</row>
    <row r="138" spans="15:73"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</row>
    <row r="139" spans="15:73"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</row>
    <row r="140" spans="15:73"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133"/>
      <c r="BU140" s="133"/>
    </row>
    <row r="141" spans="15:73"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</row>
    <row r="142" spans="15:73"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</row>
    <row r="143" spans="15:73"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</row>
    <row r="144" spans="15:73"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</row>
    <row r="145" spans="15:73"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</row>
    <row r="146" spans="15:73"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  <c r="BS146" s="133"/>
      <c r="BT146" s="133"/>
      <c r="BU146" s="133"/>
    </row>
    <row r="147" spans="15:73"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  <c r="BS147" s="133"/>
      <c r="BT147" s="133"/>
      <c r="BU147" s="133"/>
    </row>
    <row r="148" spans="15:73"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  <c r="BS148" s="133"/>
      <c r="BT148" s="133"/>
      <c r="BU148" s="133"/>
    </row>
    <row r="149" spans="15:73"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</row>
    <row r="150" spans="15:73"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133"/>
      <c r="BU150" s="133"/>
    </row>
    <row r="151" spans="15:73"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</row>
    <row r="152" spans="15:73"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</row>
    <row r="153" spans="15:73"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</row>
    <row r="154" spans="15:73"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  <c r="BS154" s="133"/>
      <c r="BT154" s="133"/>
      <c r="BU154" s="133"/>
    </row>
    <row r="155" spans="15:73"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  <c r="BR155" s="133"/>
      <c r="BS155" s="133"/>
      <c r="BT155" s="133"/>
      <c r="BU155" s="133"/>
    </row>
    <row r="156" spans="15:73"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</row>
    <row r="157" spans="15:73"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  <c r="BR157" s="133"/>
      <c r="BS157" s="133"/>
      <c r="BT157" s="133"/>
      <c r="BU157" s="133"/>
    </row>
    <row r="158" spans="15:73"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</row>
    <row r="159" spans="15:73"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  <c r="BS159" s="133"/>
      <c r="BT159" s="133"/>
      <c r="BU159" s="133"/>
    </row>
    <row r="160" spans="15:73"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  <c r="BS160" s="133"/>
      <c r="BT160" s="133"/>
      <c r="BU160" s="133"/>
    </row>
    <row r="161" spans="15:73"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133"/>
      <c r="BO161" s="133"/>
      <c r="BP161" s="133"/>
      <c r="BQ161" s="133"/>
      <c r="BR161" s="133"/>
      <c r="BS161" s="133"/>
      <c r="BT161" s="133"/>
      <c r="BU161" s="133"/>
    </row>
    <row r="162" spans="15:73"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</row>
    <row r="163" spans="15:73"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  <c r="BR163" s="133"/>
      <c r="BS163" s="133"/>
      <c r="BT163" s="133"/>
      <c r="BU163" s="133"/>
    </row>
    <row r="164" spans="15:73"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3"/>
      <c r="BM164" s="133"/>
      <c r="BN164" s="133"/>
      <c r="BO164" s="133"/>
      <c r="BP164" s="133"/>
      <c r="BQ164" s="133"/>
      <c r="BR164" s="133"/>
      <c r="BS164" s="133"/>
      <c r="BT164" s="133"/>
      <c r="BU164" s="133"/>
    </row>
    <row r="165" spans="15:73"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</row>
    <row r="166" spans="15:73"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133"/>
      <c r="BM166" s="133"/>
      <c r="BN166" s="133"/>
      <c r="BO166" s="133"/>
      <c r="BP166" s="133"/>
      <c r="BQ166" s="133"/>
      <c r="BR166" s="133"/>
      <c r="BS166" s="133"/>
      <c r="BT166" s="133"/>
      <c r="BU166" s="133"/>
    </row>
    <row r="167" spans="15:73"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</row>
    <row r="168" spans="15:73"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  <c r="BR168" s="133"/>
      <c r="BS168" s="133"/>
      <c r="BT168" s="133"/>
      <c r="BU168" s="133"/>
    </row>
    <row r="169" spans="15:73"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  <c r="BS169" s="133"/>
      <c r="BT169" s="133"/>
      <c r="BU169" s="133"/>
    </row>
    <row r="170" spans="15:73"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3"/>
      <c r="BU170" s="133"/>
    </row>
    <row r="171" spans="15:73"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</row>
    <row r="172" spans="15:73"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  <c r="BR172" s="133"/>
      <c r="BS172" s="133"/>
      <c r="BT172" s="133"/>
      <c r="BU172" s="133"/>
    </row>
    <row r="173" spans="15:73"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3"/>
      <c r="BQ173" s="133"/>
      <c r="BR173" s="133"/>
      <c r="BS173" s="133"/>
      <c r="BT173" s="133"/>
      <c r="BU173" s="133"/>
    </row>
    <row r="174" spans="15:73"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3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/>
      <c r="BS174" s="133"/>
      <c r="BT174" s="133"/>
      <c r="BU174" s="133"/>
    </row>
    <row r="175" spans="15:73"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  <c r="BS175" s="133"/>
      <c r="BT175" s="133"/>
      <c r="BU175" s="133"/>
    </row>
    <row r="176" spans="15:73"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3"/>
      <c r="BM176" s="133"/>
      <c r="BN176" s="133"/>
      <c r="BO176" s="133"/>
      <c r="BP176" s="133"/>
      <c r="BQ176" s="133"/>
      <c r="BR176" s="133"/>
      <c r="BS176" s="133"/>
      <c r="BT176" s="133"/>
      <c r="BU176" s="133"/>
    </row>
    <row r="177" spans="15:73"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133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  <c r="BS177" s="133"/>
      <c r="BT177" s="133"/>
      <c r="BU177" s="133"/>
    </row>
    <row r="178" spans="15:73"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3"/>
      <c r="BA178" s="133"/>
      <c r="BB178" s="133"/>
      <c r="BC178" s="133"/>
      <c r="BD178" s="133"/>
      <c r="BE178" s="133"/>
      <c r="BF178" s="133"/>
      <c r="BG178" s="133"/>
      <c r="BH178" s="133"/>
      <c r="BI178" s="133"/>
      <c r="BJ178" s="133"/>
      <c r="BK178" s="133"/>
      <c r="BL178" s="133"/>
      <c r="BM178" s="133"/>
      <c r="BN178" s="133"/>
      <c r="BO178" s="133"/>
      <c r="BP178" s="133"/>
      <c r="BQ178" s="133"/>
      <c r="BR178" s="133"/>
      <c r="BS178" s="133"/>
      <c r="BT178" s="133"/>
      <c r="BU178" s="133"/>
    </row>
    <row r="179" spans="15:73"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133"/>
      <c r="BN179" s="133"/>
      <c r="BO179" s="133"/>
      <c r="BP179" s="133"/>
      <c r="BQ179" s="133"/>
      <c r="BR179" s="133"/>
      <c r="BS179" s="133"/>
      <c r="BT179" s="133"/>
      <c r="BU179" s="133"/>
    </row>
    <row r="180" spans="15:73"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  <c r="BG180" s="133"/>
      <c r="BH180" s="133"/>
      <c r="BI180" s="133"/>
      <c r="BJ180" s="133"/>
      <c r="BK180" s="133"/>
      <c r="BL180" s="133"/>
      <c r="BM180" s="133"/>
      <c r="BN180" s="133"/>
      <c r="BO180" s="133"/>
      <c r="BP180" s="133"/>
      <c r="BQ180" s="133"/>
      <c r="BR180" s="133"/>
      <c r="BS180" s="133"/>
      <c r="BT180" s="133"/>
      <c r="BU180" s="133"/>
    </row>
    <row r="181" spans="15:73"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33"/>
      <c r="BR181" s="133"/>
      <c r="BS181" s="133"/>
      <c r="BT181" s="133"/>
      <c r="BU181" s="133"/>
    </row>
    <row r="182" spans="15:73"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</row>
    <row r="183" spans="15:73"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33"/>
      <c r="BR183" s="133"/>
      <c r="BS183" s="133"/>
      <c r="BT183" s="133"/>
      <c r="BU183" s="133"/>
    </row>
    <row r="184" spans="15:73"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33"/>
      <c r="BR184" s="133"/>
      <c r="BS184" s="133"/>
      <c r="BT184" s="133"/>
      <c r="BU184" s="133"/>
    </row>
    <row r="185" spans="15:73"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</row>
    <row r="186" spans="15:73"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33"/>
      <c r="BR186" s="133"/>
      <c r="BS186" s="133"/>
      <c r="BT186" s="133"/>
      <c r="BU186" s="133"/>
    </row>
    <row r="187" spans="15:73"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33"/>
      <c r="BR187" s="133"/>
      <c r="BS187" s="133"/>
      <c r="BT187" s="133"/>
      <c r="BU187" s="133"/>
    </row>
    <row r="188" spans="15:73"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33"/>
      <c r="BR188" s="133"/>
      <c r="BS188" s="133"/>
      <c r="BT188" s="133"/>
      <c r="BU188" s="133"/>
    </row>
    <row r="189" spans="15:73"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  <c r="BB189" s="133"/>
      <c r="BC189" s="133"/>
      <c r="BD189" s="133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33"/>
      <c r="BR189" s="133"/>
      <c r="BS189" s="133"/>
      <c r="BT189" s="133"/>
      <c r="BU189" s="133"/>
    </row>
    <row r="190" spans="15:73"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  <c r="BS190" s="133"/>
      <c r="BT190" s="133"/>
      <c r="BU190" s="133"/>
    </row>
    <row r="191" spans="15:73"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  <c r="BS191" s="133"/>
      <c r="BT191" s="133"/>
      <c r="BU191" s="133"/>
    </row>
    <row r="192" spans="15:73"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  <c r="BS192" s="133"/>
      <c r="BT192" s="133"/>
      <c r="BU192" s="133"/>
    </row>
    <row r="193" spans="15:73"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  <c r="BS193" s="133"/>
      <c r="BT193" s="133"/>
      <c r="BU193" s="133"/>
    </row>
    <row r="194" spans="15:73"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  <c r="BS194" s="133"/>
      <c r="BT194" s="133"/>
      <c r="BU194" s="133"/>
    </row>
    <row r="195" spans="15:73"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  <c r="BS195" s="133"/>
      <c r="BT195" s="133"/>
      <c r="BU195" s="133"/>
    </row>
    <row r="196" spans="15:73"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3"/>
      <c r="BQ196" s="133"/>
      <c r="BR196" s="133"/>
      <c r="BS196" s="133"/>
      <c r="BT196" s="133"/>
      <c r="BU196" s="133"/>
    </row>
    <row r="197" spans="15:73"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  <c r="BS197" s="133"/>
      <c r="BT197" s="133"/>
      <c r="BU197" s="133"/>
    </row>
    <row r="198" spans="15:73"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33"/>
      <c r="BM198" s="133"/>
      <c r="BN198" s="133"/>
      <c r="BO198" s="133"/>
      <c r="BP198" s="133"/>
      <c r="BQ198" s="133"/>
      <c r="BR198" s="133"/>
      <c r="BS198" s="133"/>
      <c r="BT198" s="133"/>
      <c r="BU198" s="133"/>
    </row>
    <row r="199" spans="15:73"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</row>
    <row r="200" spans="15:73"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  <c r="AY200" s="133"/>
      <c r="AZ200" s="133"/>
      <c r="BA200" s="133"/>
      <c r="BB200" s="133"/>
      <c r="BC200" s="133"/>
      <c r="BD200" s="133"/>
      <c r="BE200" s="133"/>
      <c r="BF200" s="133"/>
      <c r="BG200" s="133"/>
      <c r="BH200" s="133"/>
      <c r="BI200" s="133"/>
      <c r="BJ200" s="133"/>
      <c r="BK200" s="133"/>
      <c r="BL200" s="133"/>
      <c r="BM200" s="133"/>
      <c r="BN200" s="133"/>
      <c r="BO200" s="133"/>
      <c r="BP200" s="133"/>
      <c r="BQ200" s="133"/>
      <c r="BR200" s="133"/>
      <c r="BS200" s="133"/>
      <c r="BT200" s="133"/>
      <c r="BU200" s="133"/>
    </row>
    <row r="201" spans="15:73"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3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33"/>
      <c r="BM201" s="133"/>
      <c r="BN201" s="133"/>
      <c r="BO201" s="133"/>
      <c r="BP201" s="133"/>
      <c r="BQ201" s="133"/>
      <c r="BR201" s="133"/>
      <c r="BS201" s="133"/>
      <c r="BT201" s="133"/>
      <c r="BU201" s="133"/>
    </row>
    <row r="202" spans="15:73"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  <c r="BS202" s="133"/>
      <c r="BT202" s="133"/>
      <c r="BU202" s="133"/>
    </row>
    <row r="203" spans="15:73"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133"/>
      <c r="BN203" s="133"/>
      <c r="BO203" s="133"/>
      <c r="BP203" s="133"/>
      <c r="BQ203" s="133"/>
      <c r="BR203" s="133"/>
      <c r="BS203" s="133"/>
      <c r="BT203" s="133"/>
      <c r="BU203" s="133"/>
    </row>
    <row r="204" spans="15:73"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</row>
    <row r="205" spans="15:73"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3"/>
      <c r="BE205" s="133"/>
      <c r="BF205" s="133"/>
      <c r="BG205" s="133"/>
      <c r="BH205" s="133"/>
      <c r="BI205" s="133"/>
      <c r="BJ205" s="133"/>
      <c r="BK205" s="133"/>
      <c r="BL205" s="133"/>
      <c r="BM205" s="133"/>
      <c r="BN205" s="133"/>
      <c r="BO205" s="133"/>
      <c r="BP205" s="133"/>
      <c r="BQ205" s="133"/>
      <c r="BR205" s="133"/>
      <c r="BS205" s="133"/>
      <c r="BT205" s="133"/>
      <c r="BU205" s="133"/>
    </row>
    <row r="206" spans="15:73"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  <c r="BG206" s="133"/>
      <c r="BH206" s="133"/>
      <c r="BI206" s="133"/>
      <c r="BJ206" s="133"/>
      <c r="BK206" s="133"/>
      <c r="BL206" s="133"/>
      <c r="BM206" s="133"/>
      <c r="BN206" s="133"/>
      <c r="BO206" s="133"/>
      <c r="BP206" s="133"/>
      <c r="BQ206" s="133"/>
      <c r="BR206" s="133"/>
      <c r="BS206" s="133"/>
      <c r="BT206" s="133"/>
      <c r="BU206" s="133"/>
    </row>
    <row r="207" spans="15:73"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33"/>
      <c r="BM207" s="133"/>
      <c r="BN207" s="133"/>
      <c r="BO207" s="133"/>
      <c r="BP207" s="133"/>
      <c r="BQ207" s="133"/>
      <c r="BR207" s="133"/>
      <c r="BS207" s="133"/>
      <c r="BT207" s="133"/>
      <c r="BU207" s="133"/>
    </row>
    <row r="208" spans="15:73"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N208" s="133"/>
      <c r="BO208" s="133"/>
      <c r="BP208" s="133"/>
      <c r="BQ208" s="133"/>
      <c r="BR208" s="133"/>
      <c r="BS208" s="133"/>
      <c r="BT208" s="133"/>
      <c r="BU208" s="133"/>
    </row>
    <row r="209" spans="15:73"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33"/>
      <c r="BM209" s="133"/>
      <c r="BN209" s="133"/>
      <c r="BO209" s="133"/>
      <c r="BP209" s="133"/>
      <c r="BQ209" s="133"/>
      <c r="BR209" s="133"/>
      <c r="BS209" s="133"/>
      <c r="BT209" s="133"/>
      <c r="BU209" s="133"/>
    </row>
    <row r="210" spans="15:73"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  <c r="BG210" s="133"/>
      <c r="BH210" s="133"/>
      <c r="BI210" s="133"/>
      <c r="BJ210" s="133"/>
      <c r="BK210" s="133"/>
      <c r="BL210" s="133"/>
      <c r="BM210" s="133"/>
      <c r="BN210" s="133"/>
      <c r="BO210" s="133"/>
      <c r="BP210" s="133"/>
      <c r="BQ210" s="133"/>
      <c r="BR210" s="133"/>
      <c r="BS210" s="133"/>
      <c r="BT210" s="133"/>
      <c r="BU210" s="133"/>
    </row>
    <row r="211" spans="15:73"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33"/>
      <c r="BM211" s="133"/>
      <c r="BN211" s="133"/>
      <c r="BO211" s="133"/>
      <c r="BP211" s="133"/>
      <c r="BQ211" s="133"/>
      <c r="BR211" s="133"/>
      <c r="BS211" s="133"/>
      <c r="BT211" s="133"/>
      <c r="BU211" s="133"/>
    </row>
    <row r="212" spans="15:73"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3"/>
      <c r="BQ212" s="133"/>
      <c r="BR212" s="133"/>
      <c r="BS212" s="133"/>
      <c r="BT212" s="133"/>
      <c r="BU212" s="133"/>
    </row>
    <row r="213" spans="15:73"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33"/>
      <c r="BM213" s="133"/>
      <c r="BN213" s="133"/>
      <c r="BO213" s="133"/>
      <c r="BP213" s="133"/>
      <c r="BQ213" s="133"/>
      <c r="BR213" s="133"/>
      <c r="BS213" s="133"/>
      <c r="BT213" s="133"/>
      <c r="BU213" s="133"/>
    </row>
    <row r="214" spans="15:73"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  <c r="BB214" s="133"/>
      <c r="BC214" s="133"/>
      <c r="BD214" s="133"/>
      <c r="BE214" s="133"/>
      <c r="BF214" s="133"/>
      <c r="BG214" s="133"/>
      <c r="BH214" s="133"/>
      <c r="BI214" s="133"/>
      <c r="BJ214" s="133"/>
      <c r="BK214" s="133"/>
      <c r="BL214" s="133"/>
      <c r="BM214" s="133"/>
      <c r="BN214" s="133"/>
      <c r="BO214" s="133"/>
      <c r="BP214" s="133"/>
      <c r="BQ214" s="133"/>
      <c r="BR214" s="133"/>
      <c r="BS214" s="133"/>
      <c r="BT214" s="133"/>
      <c r="BU214" s="133"/>
    </row>
    <row r="215" spans="15:73"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  <c r="AY215" s="133"/>
      <c r="AZ215" s="133"/>
      <c r="BA215" s="133"/>
      <c r="BB215" s="133"/>
      <c r="BC215" s="133"/>
      <c r="BD215" s="133"/>
      <c r="BE215" s="133"/>
      <c r="BF215" s="133"/>
      <c r="BG215" s="133"/>
      <c r="BH215" s="133"/>
      <c r="BI215" s="133"/>
      <c r="BJ215" s="133"/>
      <c r="BK215" s="133"/>
      <c r="BL215" s="133"/>
      <c r="BM215" s="133"/>
      <c r="BN215" s="133"/>
      <c r="BO215" s="133"/>
      <c r="BP215" s="133"/>
      <c r="BQ215" s="133"/>
      <c r="BR215" s="133"/>
      <c r="BS215" s="133"/>
      <c r="BT215" s="133"/>
      <c r="BU215" s="133"/>
    </row>
    <row r="216" spans="15:73"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33"/>
      <c r="BM216" s="133"/>
      <c r="BN216" s="133"/>
      <c r="BO216" s="133"/>
      <c r="BP216" s="133"/>
      <c r="BQ216" s="133"/>
      <c r="BR216" s="133"/>
      <c r="BS216" s="133"/>
      <c r="BT216" s="133"/>
      <c r="BU216" s="133"/>
    </row>
    <row r="217" spans="15:73"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33"/>
      <c r="BG217" s="133"/>
      <c r="BH217" s="133"/>
      <c r="BI217" s="133"/>
      <c r="BJ217" s="133"/>
      <c r="BK217" s="133"/>
      <c r="BL217" s="133"/>
      <c r="BM217" s="133"/>
      <c r="BN217" s="133"/>
      <c r="BO217" s="133"/>
      <c r="BP217" s="133"/>
      <c r="BQ217" s="133"/>
      <c r="BR217" s="133"/>
      <c r="BS217" s="133"/>
      <c r="BT217" s="133"/>
      <c r="BU217" s="133"/>
    </row>
    <row r="218" spans="15:73"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BM218" s="133"/>
      <c r="BN218" s="133"/>
      <c r="BO218" s="133"/>
      <c r="BP218" s="133"/>
      <c r="BQ218" s="133"/>
      <c r="BR218" s="133"/>
      <c r="BS218" s="133"/>
      <c r="BT218" s="133"/>
      <c r="BU218" s="133"/>
    </row>
    <row r="219" spans="15:73"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133"/>
      <c r="BH219" s="133"/>
      <c r="BI219" s="133"/>
      <c r="BJ219" s="133"/>
      <c r="BK219" s="133"/>
      <c r="BL219" s="133"/>
      <c r="BM219" s="133"/>
      <c r="BN219" s="133"/>
      <c r="BO219" s="133"/>
      <c r="BP219" s="133"/>
      <c r="BQ219" s="133"/>
      <c r="BR219" s="133"/>
      <c r="BS219" s="133"/>
      <c r="BT219" s="133"/>
      <c r="BU219" s="133"/>
    </row>
    <row r="220" spans="15:73"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  <c r="BS220" s="133"/>
      <c r="BT220" s="133"/>
      <c r="BU220" s="133"/>
    </row>
    <row r="221" spans="15:73"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3"/>
      <c r="BQ221" s="133"/>
      <c r="BR221" s="133"/>
      <c r="BS221" s="133"/>
      <c r="BT221" s="133"/>
      <c r="BU221" s="133"/>
    </row>
    <row r="222" spans="15:73"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  <c r="BG222" s="133"/>
      <c r="BH222" s="133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  <c r="BS222" s="133"/>
      <c r="BT222" s="133"/>
      <c r="BU222" s="133"/>
    </row>
    <row r="223" spans="15:73"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  <c r="BG223" s="133"/>
      <c r="BH223" s="133"/>
      <c r="BI223" s="133"/>
      <c r="BJ223" s="133"/>
      <c r="BK223" s="133"/>
      <c r="BL223" s="133"/>
      <c r="BM223" s="133"/>
      <c r="BN223" s="133"/>
      <c r="BO223" s="133"/>
      <c r="BP223" s="133"/>
      <c r="BQ223" s="133"/>
      <c r="BR223" s="133"/>
      <c r="BS223" s="133"/>
      <c r="BT223" s="133"/>
      <c r="BU223" s="133"/>
    </row>
    <row r="224" spans="15:73"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  <c r="BT224" s="133"/>
      <c r="BU224" s="133"/>
    </row>
    <row r="225" spans="15:73"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  <c r="BG225" s="133"/>
      <c r="BH225" s="133"/>
      <c r="BI225" s="133"/>
      <c r="BJ225" s="133"/>
      <c r="BK225" s="133"/>
      <c r="BL225" s="133"/>
      <c r="BM225" s="133"/>
      <c r="BN225" s="133"/>
      <c r="BO225" s="133"/>
      <c r="BP225" s="133"/>
      <c r="BQ225" s="133"/>
      <c r="BR225" s="133"/>
      <c r="BS225" s="133"/>
      <c r="BT225" s="133"/>
      <c r="BU225" s="133"/>
    </row>
    <row r="226" spans="15:73"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  <c r="BG226" s="133"/>
      <c r="BH226" s="133"/>
      <c r="BI226" s="133"/>
      <c r="BJ226" s="133"/>
      <c r="BK226" s="133"/>
      <c r="BL226" s="133"/>
      <c r="BM226" s="133"/>
      <c r="BN226" s="133"/>
      <c r="BO226" s="133"/>
      <c r="BP226" s="133"/>
      <c r="BQ226" s="133"/>
      <c r="BR226" s="133"/>
      <c r="BS226" s="133"/>
      <c r="BT226" s="133"/>
      <c r="BU226" s="133"/>
    </row>
    <row r="227" spans="15:73"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</row>
    <row r="228" spans="15:73"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  <c r="BG228" s="133"/>
      <c r="BH228" s="133"/>
      <c r="BI228" s="133"/>
      <c r="BJ228" s="133"/>
      <c r="BK228" s="133"/>
      <c r="BL228" s="133"/>
      <c r="BM228" s="133"/>
      <c r="BN228" s="133"/>
      <c r="BO228" s="133"/>
      <c r="BP228" s="133"/>
      <c r="BQ228" s="133"/>
      <c r="BR228" s="133"/>
      <c r="BS228" s="133"/>
      <c r="BT228" s="133"/>
      <c r="BU228" s="133"/>
    </row>
    <row r="229" spans="15:73"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  <c r="BM229" s="133"/>
      <c r="BN229" s="133"/>
      <c r="BO229" s="133"/>
      <c r="BP229" s="133"/>
      <c r="BQ229" s="133"/>
      <c r="BR229" s="133"/>
      <c r="BS229" s="133"/>
      <c r="BT229" s="133"/>
      <c r="BU229" s="133"/>
    </row>
    <row r="230" spans="15:73"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  <c r="BI230" s="133"/>
      <c r="BJ230" s="133"/>
      <c r="BK230" s="133"/>
      <c r="BL230" s="133"/>
      <c r="BM230" s="133"/>
      <c r="BN230" s="133"/>
      <c r="BO230" s="133"/>
      <c r="BP230" s="133"/>
      <c r="BQ230" s="133"/>
      <c r="BR230" s="133"/>
      <c r="BS230" s="133"/>
      <c r="BT230" s="133"/>
      <c r="BU230" s="133"/>
    </row>
    <row r="231" spans="15:73"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3"/>
      <c r="BO231" s="133"/>
      <c r="BP231" s="133"/>
      <c r="BQ231" s="133"/>
      <c r="BR231" s="133"/>
      <c r="BS231" s="133"/>
      <c r="BT231" s="133"/>
      <c r="BU231" s="133"/>
    </row>
    <row r="232" spans="15:73"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  <c r="BG232" s="133"/>
      <c r="BH232" s="133"/>
      <c r="BI232" s="133"/>
      <c r="BJ232" s="133"/>
      <c r="BK232" s="133"/>
      <c r="BL232" s="133"/>
      <c r="BM232" s="133"/>
      <c r="BN232" s="133"/>
      <c r="BO232" s="133"/>
      <c r="BP232" s="133"/>
      <c r="BQ232" s="133"/>
      <c r="BR232" s="133"/>
      <c r="BS232" s="133"/>
      <c r="BT232" s="133"/>
      <c r="BU232" s="133"/>
    </row>
    <row r="233" spans="15:73"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33"/>
      <c r="BM233" s="133"/>
      <c r="BN233" s="133"/>
      <c r="BO233" s="133"/>
      <c r="BP233" s="133"/>
      <c r="BQ233" s="133"/>
      <c r="BR233" s="133"/>
      <c r="BS233" s="133"/>
      <c r="BT233" s="133"/>
      <c r="BU233" s="133"/>
    </row>
    <row r="234" spans="15:73"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  <c r="BI234" s="133"/>
      <c r="BJ234" s="133"/>
      <c r="BK234" s="133"/>
      <c r="BL234" s="133"/>
      <c r="BM234" s="133"/>
      <c r="BN234" s="133"/>
      <c r="BO234" s="133"/>
      <c r="BP234" s="133"/>
      <c r="BQ234" s="133"/>
      <c r="BR234" s="133"/>
      <c r="BS234" s="133"/>
      <c r="BT234" s="133"/>
      <c r="BU234" s="133"/>
    </row>
    <row r="235" spans="15:73"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133"/>
      <c r="BI235" s="133"/>
      <c r="BJ235" s="133"/>
      <c r="BK235" s="133"/>
      <c r="BL235" s="133"/>
      <c r="BM235" s="133"/>
      <c r="BN235" s="133"/>
      <c r="BO235" s="133"/>
      <c r="BP235" s="133"/>
      <c r="BQ235" s="133"/>
      <c r="BR235" s="133"/>
      <c r="BS235" s="133"/>
      <c r="BT235" s="133"/>
      <c r="BU235" s="133"/>
    </row>
    <row r="236" spans="15:73"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33"/>
      <c r="BM236" s="133"/>
      <c r="BN236" s="133"/>
      <c r="BO236" s="133"/>
      <c r="BP236" s="133"/>
      <c r="BQ236" s="133"/>
      <c r="BR236" s="133"/>
      <c r="BS236" s="133"/>
      <c r="BT236" s="133"/>
      <c r="BU236" s="133"/>
    </row>
    <row r="237" spans="15:73"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3"/>
      <c r="BG237" s="133"/>
      <c r="BH237" s="133"/>
      <c r="BI237" s="133"/>
      <c r="BJ237" s="133"/>
      <c r="BK237" s="133"/>
      <c r="BL237" s="133"/>
      <c r="BM237" s="133"/>
      <c r="BN237" s="133"/>
      <c r="BO237" s="133"/>
      <c r="BP237" s="133"/>
      <c r="BQ237" s="133"/>
      <c r="BR237" s="133"/>
      <c r="BS237" s="133"/>
      <c r="BT237" s="133"/>
      <c r="BU237" s="133"/>
    </row>
    <row r="238" spans="15:73"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  <c r="BM238" s="133"/>
      <c r="BN238" s="133"/>
      <c r="BO238" s="133"/>
      <c r="BP238" s="133"/>
      <c r="BQ238" s="133"/>
      <c r="BR238" s="133"/>
      <c r="BS238" s="133"/>
      <c r="BT238" s="133"/>
      <c r="BU238" s="133"/>
    </row>
    <row r="239" spans="15:73"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  <c r="BI239" s="133"/>
      <c r="BJ239" s="133"/>
      <c r="BK239" s="133"/>
      <c r="BL239" s="133"/>
      <c r="BM239" s="133"/>
      <c r="BN239" s="133"/>
      <c r="BO239" s="133"/>
      <c r="BP239" s="133"/>
      <c r="BQ239" s="133"/>
      <c r="BR239" s="133"/>
      <c r="BS239" s="133"/>
      <c r="BT239" s="133"/>
      <c r="BU239" s="133"/>
    </row>
    <row r="240" spans="15:73"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  <c r="BI240" s="133"/>
      <c r="BJ240" s="133"/>
      <c r="BK240" s="133"/>
      <c r="BL240" s="133"/>
      <c r="BM240" s="133"/>
      <c r="BN240" s="133"/>
      <c r="BO240" s="133"/>
      <c r="BP240" s="133"/>
      <c r="BQ240" s="133"/>
      <c r="BR240" s="133"/>
      <c r="BS240" s="133"/>
      <c r="BT240" s="133"/>
      <c r="BU240" s="133"/>
    </row>
    <row r="241" spans="15:73"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133"/>
      <c r="BQ241" s="133"/>
      <c r="BR241" s="133"/>
      <c r="BS241" s="133"/>
      <c r="BT241" s="133"/>
      <c r="BU241" s="133"/>
    </row>
    <row r="242" spans="15:73"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  <c r="BM242" s="133"/>
      <c r="BN242" s="133"/>
      <c r="BO242" s="133"/>
      <c r="BP242" s="133"/>
      <c r="BQ242" s="133"/>
      <c r="BR242" s="133"/>
      <c r="BS242" s="133"/>
      <c r="BT242" s="133"/>
      <c r="BU242" s="133"/>
    </row>
    <row r="243" spans="15:73"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3"/>
      <c r="BQ243" s="133"/>
      <c r="BR243" s="133"/>
      <c r="BS243" s="133"/>
      <c r="BT243" s="133"/>
      <c r="BU243" s="133"/>
    </row>
    <row r="244" spans="15:73"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3"/>
      <c r="BQ244" s="133"/>
      <c r="BR244" s="133"/>
      <c r="BS244" s="133"/>
      <c r="BT244" s="133"/>
      <c r="BU244" s="133"/>
    </row>
    <row r="245" spans="15:73"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  <c r="BM245" s="133"/>
      <c r="BN245" s="133"/>
      <c r="BO245" s="133"/>
      <c r="BP245" s="133"/>
      <c r="BQ245" s="133"/>
      <c r="BR245" s="133"/>
      <c r="BS245" s="133"/>
      <c r="BT245" s="133"/>
      <c r="BU245" s="133"/>
    </row>
    <row r="246" spans="15:73"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33"/>
      <c r="BM246" s="133"/>
      <c r="BN246" s="133"/>
      <c r="BO246" s="133"/>
      <c r="BP246" s="133"/>
      <c r="BQ246" s="133"/>
      <c r="BR246" s="133"/>
      <c r="BS246" s="133"/>
      <c r="BT246" s="133"/>
      <c r="BU246" s="133"/>
    </row>
    <row r="247" spans="15:73"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  <c r="BS247" s="133"/>
      <c r="BT247" s="133"/>
      <c r="BU247" s="133"/>
    </row>
    <row r="248" spans="15:73"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33"/>
      <c r="BM248" s="133"/>
      <c r="BN248" s="133"/>
      <c r="BO248" s="133"/>
      <c r="BP248" s="133"/>
      <c r="BQ248" s="133"/>
      <c r="BR248" s="133"/>
      <c r="BS248" s="133"/>
      <c r="BT248" s="133"/>
      <c r="BU248" s="133"/>
    </row>
    <row r="249" spans="15:73"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</row>
    <row r="250" spans="15:73"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33"/>
      <c r="BM250" s="133"/>
      <c r="BN250" s="133"/>
      <c r="BO250" s="133"/>
      <c r="BP250" s="133"/>
      <c r="BQ250" s="133"/>
      <c r="BR250" s="133"/>
      <c r="BS250" s="133"/>
      <c r="BT250" s="133"/>
      <c r="BU250" s="133"/>
    </row>
    <row r="251" spans="15:73"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33"/>
      <c r="BM251" s="133"/>
      <c r="BN251" s="133"/>
      <c r="BO251" s="133"/>
      <c r="BP251" s="133"/>
      <c r="BQ251" s="133"/>
      <c r="BR251" s="133"/>
      <c r="BS251" s="133"/>
      <c r="BT251" s="133"/>
      <c r="BU251" s="133"/>
    </row>
    <row r="252" spans="15:73"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33"/>
      <c r="BM252" s="133"/>
      <c r="BN252" s="133"/>
      <c r="BO252" s="133"/>
      <c r="BP252" s="133"/>
      <c r="BQ252" s="133"/>
      <c r="BR252" s="133"/>
      <c r="BS252" s="133"/>
      <c r="BT252" s="133"/>
      <c r="BU252" s="133"/>
    </row>
    <row r="253" spans="15:73"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  <c r="BM253" s="133"/>
      <c r="BN253" s="133"/>
      <c r="BO253" s="133"/>
      <c r="BP253" s="133"/>
      <c r="BQ253" s="133"/>
      <c r="BR253" s="133"/>
      <c r="BS253" s="133"/>
      <c r="BT253" s="133"/>
      <c r="BU253" s="133"/>
    </row>
    <row r="254" spans="15:73"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  <c r="BM254" s="133"/>
      <c r="BN254" s="133"/>
      <c r="BO254" s="133"/>
      <c r="BP254" s="133"/>
      <c r="BQ254" s="133"/>
      <c r="BR254" s="133"/>
      <c r="BS254" s="133"/>
      <c r="BT254" s="133"/>
      <c r="BU254" s="133"/>
    </row>
    <row r="255" spans="15:73"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  <c r="BM255" s="133"/>
      <c r="BN255" s="133"/>
      <c r="BO255" s="133"/>
      <c r="BP255" s="133"/>
      <c r="BQ255" s="133"/>
      <c r="BR255" s="133"/>
      <c r="BS255" s="133"/>
      <c r="BT255" s="133"/>
      <c r="BU255" s="133"/>
    </row>
    <row r="256" spans="15:73"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/>
      <c r="BO256" s="133"/>
      <c r="BP256" s="133"/>
      <c r="BQ256" s="133"/>
      <c r="BR256" s="133"/>
      <c r="BS256" s="133"/>
      <c r="BT256" s="133"/>
      <c r="BU256" s="133"/>
    </row>
    <row r="257" spans="15:73"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  <c r="BM257" s="133"/>
      <c r="BN257" s="133"/>
      <c r="BO257" s="133"/>
      <c r="BP257" s="133"/>
      <c r="BQ257" s="133"/>
      <c r="BR257" s="133"/>
      <c r="BS257" s="133"/>
      <c r="BT257" s="133"/>
      <c r="BU257" s="133"/>
    </row>
    <row r="258" spans="15:73"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  <c r="BM258" s="133"/>
      <c r="BN258" s="133"/>
      <c r="BO258" s="133"/>
      <c r="BP258" s="133"/>
      <c r="BQ258" s="133"/>
      <c r="BR258" s="133"/>
      <c r="BS258" s="133"/>
      <c r="BT258" s="133"/>
      <c r="BU258" s="133"/>
    </row>
    <row r="259" spans="15:73"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33"/>
      <c r="BM259" s="133"/>
      <c r="BN259" s="133"/>
      <c r="BO259" s="133"/>
      <c r="BP259" s="133"/>
      <c r="BQ259" s="133"/>
      <c r="BR259" s="133"/>
      <c r="BS259" s="133"/>
      <c r="BT259" s="133"/>
      <c r="BU259" s="133"/>
    </row>
    <row r="260" spans="15:73"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/>
      <c r="BS260" s="133"/>
      <c r="BT260" s="133"/>
      <c r="BU260" s="133"/>
    </row>
    <row r="261" spans="15:73"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  <c r="BS261" s="133"/>
      <c r="BT261" s="133"/>
      <c r="BU261" s="133"/>
    </row>
    <row r="262" spans="15:73"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</row>
    <row r="263" spans="15:73"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  <c r="BH263" s="133"/>
      <c r="BI263" s="133"/>
      <c r="BJ263" s="133"/>
      <c r="BK263" s="133"/>
      <c r="BL263" s="133"/>
      <c r="BM263" s="133"/>
      <c r="BN263" s="133"/>
      <c r="BO263" s="133"/>
      <c r="BP263" s="133"/>
      <c r="BQ263" s="133"/>
      <c r="BR263" s="133"/>
      <c r="BS263" s="133"/>
      <c r="BT263" s="133"/>
      <c r="BU263" s="133"/>
    </row>
    <row r="264" spans="15:73"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  <c r="BS264" s="133"/>
      <c r="BT264" s="133"/>
      <c r="BU264" s="133"/>
    </row>
    <row r="265" spans="15:73"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3"/>
      <c r="BE265" s="133"/>
      <c r="BF265" s="133"/>
      <c r="BG265" s="133"/>
      <c r="BH265" s="133"/>
      <c r="BI265" s="133"/>
      <c r="BJ265" s="133"/>
      <c r="BK265" s="133"/>
      <c r="BL265" s="133"/>
      <c r="BM265" s="133"/>
      <c r="BN265" s="133"/>
      <c r="BO265" s="133"/>
      <c r="BP265" s="133"/>
      <c r="BQ265" s="133"/>
      <c r="BR265" s="133"/>
      <c r="BS265" s="133"/>
      <c r="BT265" s="133"/>
      <c r="BU265" s="133"/>
    </row>
    <row r="266" spans="15:73"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  <c r="BG266" s="133"/>
      <c r="BH266" s="133"/>
      <c r="BI266" s="133"/>
      <c r="BJ266" s="133"/>
      <c r="BK266" s="133"/>
      <c r="BL266" s="133"/>
      <c r="BM266" s="133"/>
      <c r="BN266" s="133"/>
      <c r="BO266" s="133"/>
      <c r="BP266" s="133"/>
      <c r="BQ266" s="133"/>
      <c r="BR266" s="133"/>
      <c r="BS266" s="133"/>
      <c r="BT266" s="133"/>
      <c r="BU266" s="133"/>
    </row>
    <row r="267" spans="15:73"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  <c r="AY267" s="133"/>
      <c r="AZ267" s="133"/>
      <c r="BA267" s="133"/>
      <c r="BB267" s="133"/>
      <c r="BC267" s="133"/>
      <c r="BD267" s="133"/>
      <c r="BE267" s="133"/>
      <c r="BF267" s="133"/>
      <c r="BG267" s="133"/>
      <c r="BH267" s="133"/>
      <c r="BI267" s="133"/>
      <c r="BJ267" s="133"/>
      <c r="BK267" s="133"/>
      <c r="BL267" s="133"/>
      <c r="BM267" s="133"/>
      <c r="BN267" s="133"/>
      <c r="BO267" s="133"/>
      <c r="BP267" s="133"/>
      <c r="BQ267" s="133"/>
      <c r="BR267" s="133"/>
      <c r="BS267" s="133"/>
      <c r="BT267" s="133"/>
      <c r="BU267" s="133"/>
    </row>
    <row r="268" spans="15:73"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3"/>
      <c r="BG268" s="133"/>
      <c r="BH268" s="133"/>
      <c r="BI268" s="133"/>
      <c r="BJ268" s="133"/>
      <c r="BK268" s="133"/>
      <c r="BL268" s="133"/>
      <c r="BM268" s="133"/>
      <c r="BN268" s="133"/>
      <c r="BO268" s="133"/>
      <c r="BP268" s="133"/>
      <c r="BQ268" s="133"/>
      <c r="BR268" s="133"/>
      <c r="BS268" s="133"/>
      <c r="BT268" s="133"/>
      <c r="BU268" s="133"/>
    </row>
    <row r="269" spans="15:73"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  <c r="AY269" s="133"/>
      <c r="AZ269" s="133"/>
      <c r="BA269" s="133"/>
      <c r="BB269" s="133"/>
      <c r="BC269" s="133"/>
      <c r="BD269" s="133"/>
      <c r="BE269" s="133"/>
      <c r="BF269" s="133"/>
      <c r="BG269" s="133"/>
      <c r="BH269" s="133"/>
      <c r="BI269" s="133"/>
      <c r="BJ269" s="133"/>
      <c r="BK269" s="133"/>
      <c r="BL269" s="133"/>
      <c r="BM269" s="133"/>
      <c r="BN269" s="133"/>
      <c r="BO269" s="133"/>
      <c r="BP269" s="133"/>
      <c r="BQ269" s="133"/>
      <c r="BR269" s="133"/>
      <c r="BS269" s="133"/>
      <c r="BT269" s="133"/>
      <c r="BU269" s="133"/>
    </row>
    <row r="270" spans="15:73"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3"/>
      <c r="BD270" s="133"/>
      <c r="BE270" s="133"/>
      <c r="BF270" s="133"/>
      <c r="BG270" s="133"/>
      <c r="BH270" s="133"/>
      <c r="BI270" s="133"/>
      <c r="BJ270" s="133"/>
      <c r="BK270" s="133"/>
      <c r="BL270" s="133"/>
      <c r="BM270" s="133"/>
      <c r="BN270" s="133"/>
      <c r="BO270" s="133"/>
      <c r="BP270" s="133"/>
      <c r="BQ270" s="133"/>
      <c r="BR270" s="133"/>
      <c r="BS270" s="133"/>
      <c r="BT270" s="133"/>
      <c r="BU270" s="133"/>
    </row>
    <row r="271" spans="15:73"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  <c r="AY271" s="133"/>
      <c r="AZ271" s="133"/>
      <c r="BA271" s="133"/>
      <c r="BB271" s="133"/>
      <c r="BC271" s="133"/>
      <c r="BD271" s="133"/>
      <c r="BE271" s="133"/>
      <c r="BF271" s="133"/>
      <c r="BG271" s="133"/>
      <c r="BH271" s="133"/>
      <c r="BI271" s="133"/>
      <c r="BJ271" s="133"/>
      <c r="BK271" s="133"/>
      <c r="BL271" s="133"/>
      <c r="BM271" s="133"/>
      <c r="BN271" s="133"/>
      <c r="BO271" s="133"/>
      <c r="BP271" s="133"/>
      <c r="BQ271" s="133"/>
      <c r="BR271" s="133"/>
      <c r="BS271" s="133"/>
      <c r="BT271" s="133"/>
      <c r="BU271" s="133"/>
    </row>
    <row r="272" spans="15:73"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  <c r="AY272" s="133"/>
      <c r="AZ272" s="133"/>
      <c r="BA272" s="133"/>
      <c r="BB272" s="133"/>
      <c r="BC272" s="133"/>
      <c r="BD272" s="133"/>
      <c r="BE272" s="133"/>
      <c r="BF272" s="133"/>
      <c r="BG272" s="133"/>
      <c r="BH272" s="133"/>
      <c r="BI272" s="133"/>
      <c r="BJ272" s="133"/>
      <c r="BK272" s="133"/>
      <c r="BL272" s="133"/>
      <c r="BM272" s="133"/>
      <c r="BN272" s="133"/>
      <c r="BO272" s="133"/>
      <c r="BP272" s="133"/>
      <c r="BQ272" s="133"/>
      <c r="BR272" s="133"/>
      <c r="BS272" s="133"/>
      <c r="BT272" s="133"/>
      <c r="BU272" s="133"/>
    </row>
    <row r="273" spans="15:73"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  <c r="AF273" s="133"/>
      <c r="AG273" s="133"/>
      <c r="AH273" s="133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  <c r="AY273" s="133"/>
      <c r="AZ273" s="133"/>
      <c r="BA273" s="133"/>
      <c r="BB273" s="133"/>
      <c r="BC273" s="133"/>
      <c r="BD273" s="133"/>
      <c r="BE273" s="133"/>
      <c r="BF273" s="133"/>
      <c r="BG273" s="133"/>
      <c r="BH273" s="133"/>
      <c r="BI273" s="133"/>
      <c r="BJ273" s="133"/>
      <c r="BK273" s="133"/>
      <c r="BL273" s="133"/>
      <c r="BM273" s="133"/>
      <c r="BN273" s="133"/>
      <c r="BO273" s="133"/>
      <c r="BP273" s="133"/>
      <c r="BQ273" s="133"/>
      <c r="BR273" s="133"/>
      <c r="BS273" s="133"/>
      <c r="BT273" s="133"/>
      <c r="BU273" s="133"/>
    </row>
    <row r="274" spans="15:73"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  <c r="AF274" s="133"/>
      <c r="AG274" s="133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  <c r="AY274" s="133"/>
      <c r="AZ274" s="133"/>
      <c r="BA274" s="133"/>
      <c r="BB274" s="133"/>
      <c r="BC274" s="133"/>
      <c r="BD274" s="133"/>
      <c r="BE274" s="133"/>
      <c r="BF274" s="133"/>
      <c r="BG274" s="133"/>
      <c r="BH274" s="133"/>
      <c r="BI274" s="133"/>
      <c r="BJ274" s="133"/>
      <c r="BK274" s="133"/>
      <c r="BL274" s="133"/>
      <c r="BM274" s="133"/>
      <c r="BN274" s="133"/>
      <c r="BO274" s="133"/>
      <c r="BP274" s="133"/>
      <c r="BQ274" s="133"/>
      <c r="BR274" s="133"/>
      <c r="BS274" s="133"/>
      <c r="BT274" s="133"/>
      <c r="BU274" s="133"/>
    </row>
    <row r="275" spans="15:73"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  <c r="AF275" s="133"/>
      <c r="AG275" s="133"/>
      <c r="AH275" s="133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  <c r="AV275" s="133"/>
      <c r="AW275" s="133"/>
      <c r="AX275" s="133"/>
      <c r="AY275" s="133"/>
      <c r="AZ275" s="133"/>
      <c r="BA275" s="133"/>
      <c r="BB275" s="133"/>
      <c r="BC275" s="133"/>
      <c r="BD275" s="133"/>
      <c r="BE275" s="133"/>
      <c r="BF275" s="133"/>
      <c r="BG275" s="133"/>
      <c r="BH275" s="133"/>
      <c r="BI275" s="133"/>
      <c r="BJ275" s="133"/>
      <c r="BK275" s="133"/>
      <c r="BL275" s="133"/>
      <c r="BM275" s="133"/>
      <c r="BN275" s="133"/>
      <c r="BO275" s="133"/>
      <c r="BP275" s="133"/>
      <c r="BQ275" s="133"/>
      <c r="BR275" s="133"/>
      <c r="BS275" s="133"/>
      <c r="BT275" s="133"/>
      <c r="BU275" s="133"/>
    </row>
    <row r="276" spans="15:73"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  <c r="AY276" s="133"/>
      <c r="AZ276" s="133"/>
      <c r="BA276" s="133"/>
      <c r="BB276" s="133"/>
      <c r="BC276" s="133"/>
      <c r="BD276" s="133"/>
      <c r="BE276" s="133"/>
      <c r="BF276" s="133"/>
      <c r="BG276" s="133"/>
      <c r="BH276" s="133"/>
      <c r="BI276" s="133"/>
      <c r="BJ276" s="133"/>
      <c r="BK276" s="133"/>
      <c r="BL276" s="133"/>
      <c r="BM276" s="133"/>
      <c r="BN276" s="133"/>
      <c r="BO276" s="133"/>
      <c r="BP276" s="133"/>
      <c r="BQ276" s="133"/>
      <c r="BR276" s="133"/>
      <c r="BS276" s="133"/>
      <c r="BT276" s="133"/>
      <c r="BU276" s="133"/>
    </row>
    <row r="277" spans="15:73"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F277" s="133"/>
      <c r="AG277" s="133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  <c r="AV277" s="133"/>
      <c r="AW277" s="133"/>
      <c r="AX277" s="133"/>
      <c r="AY277" s="133"/>
      <c r="AZ277" s="133"/>
      <c r="BA277" s="133"/>
      <c r="BB277" s="133"/>
      <c r="BC277" s="133"/>
      <c r="BD277" s="133"/>
      <c r="BE277" s="133"/>
      <c r="BF277" s="133"/>
      <c r="BG277" s="133"/>
      <c r="BH277" s="133"/>
      <c r="BI277" s="133"/>
      <c r="BJ277" s="133"/>
      <c r="BK277" s="133"/>
      <c r="BL277" s="133"/>
      <c r="BM277" s="133"/>
      <c r="BN277" s="133"/>
      <c r="BO277" s="133"/>
      <c r="BP277" s="133"/>
      <c r="BQ277" s="133"/>
      <c r="BR277" s="133"/>
      <c r="BS277" s="133"/>
      <c r="BT277" s="133"/>
      <c r="BU277" s="133"/>
    </row>
    <row r="278" spans="15:73"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  <c r="AY278" s="133"/>
      <c r="AZ278" s="133"/>
      <c r="BA278" s="133"/>
      <c r="BB278" s="133"/>
      <c r="BC278" s="133"/>
      <c r="BD278" s="133"/>
      <c r="BE278" s="133"/>
      <c r="BF278" s="133"/>
      <c r="BG278" s="133"/>
      <c r="BH278" s="133"/>
      <c r="BI278" s="133"/>
      <c r="BJ278" s="133"/>
      <c r="BK278" s="133"/>
      <c r="BL278" s="133"/>
      <c r="BM278" s="133"/>
      <c r="BN278" s="133"/>
      <c r="BO278" s="133"/>
      <c r="BP278" s="133"/>
      <c r="BQ278" s="133"/>
      <c r="BR278" s="133"/>
      <c r="BS278" s="133"/>
      <c r="BT278" s="133"/>
      <c r="BU278" s="133"/>
    </row>
    <row r="279" spans="15:73"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  <c r="AF279" s="133"/>
      <c r="AG279" s="133"/>
      <c r="AH279" s="133"/>
      <c r="AI279" s="133"/>
      <c r="AJ279" s="133"/>
      <c r="AK279" s="13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  <c r="AV279" s="133"/>
      <c r="AW279" s="133"/>
      <c r="AX279" s="133"/>
      <c r="AY279" s="133"/>
      <c r="AZ279" s="133"/>
      <c r="BA279" s="133"/>
      <c r="BB279" s="133"/>
      <c r="BC279" s="133"/>
      <c r="BD279" s="133"/>
      <c r="BE279" s="133"/>
      <c r="BF279" s="133"/>
      <c r="BG279" s="133"/>
      <c r="BH279" s="133"/>
      <c r="BI279" s="133"/>
      <c r="BJ279" s="133"/>
      <c r="BK279" s="133"/>
      <c r="BL279" s="133"/>
      <c r="BM279" s="133"/>
      <c r="BN279" s="133"/>
      <c r="BO279" s="133"/>
      <c r="BP279" s="133"/>
      <c r="BQ279" s="133"/>
      <c r="BR279" s="133"/>
      <c r="BS279" s="133"/>
      <c r="BT279" s="133"/>
      <c r="BU279" s="133"/>
    </row>
    <row r="280" spans="15:73"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  <c r="AF280" s="133"/>
      <c r="AG280" s="133"/>
      <c r="AH280" s="133"/>
      <c r="AI280" s="133"/>
      <c r="AJ280" s="133"/>
      <c r="AK280" s="133"/>
      <c r="AL280" s="133"/>
      <c r="AM280" s="133"/>
      <c r="AN280" s="133"/>
      <c r="AO280" s="133"/>
      <c r="AP280" s="133"/>
      <c r="AQ280" s="133"/>
      <c r="AR280" s="133"/>
      <c r="AS280" s="133"/>
      <c r="AT280" s="133"/>
      <c r="AU280" s="133"/>
      <c r="AV280" s="133"/>
      <c r="AW280" s="133"/>
      <c r="AX280" s="133"/>
      <c r="AY280" s="133"/>
      <c r="AZ280" s="133"/>
      <c r="BA280" s="133"/>
      <c r="BB280" s="133"/>
      <c r="BC280" s="133"/>
      <c r="BD280" s="133"/>
      <c r="BE280" s="133"/>
      <c r="BF280" s="133"/>
      <c r="BG280" s="133"/>
      <c r="BH280" s="133"/>
      <c r="BI280" s="133"/>
      <c r="BJ280" s="133"/>
      <c r="BK280" s="133"/>
      <c r="BL280" s="133"/>
      <c r="BM280" s="133"/>
      <c r="BN280" s="133"/>
      <c r="BO280" s="133"/>
      <c r="BP280" s="133"/>
      <c r="BQ280" s="133"/>
      <c r="BR280" s="133"/>
      <c r="BS280" s="133"/>
      <c r="BT280" s="133"/>
      <c r="BU280" s="133"/>
    </row>
    <row r="281" spans="15:73"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3"/>
      <c r="AX281" s="133"/>
      <c r="AY281" s="133"/>
      <c r="AZ281" s="133"/>
      <c r="BA281" s="133"/>
      <c r="BB281" s="133"/>
      <c r="BC281" s="133"/>
      <c r="BD281" s="133"/>
      <c r="BE281" s="133"/>
      <c r="BF281" s="133"/>
      <c r="BG281" s="133"/>
      <c r="BH281" s="133"/>
      <c r="BI281" s="133"/>
      <c r="BJ281" s="133"/>
      <c r="BK281" s="133"/>
      <c r="BL281" s="133"/>
      <c r="BM281" s="133"/>
      <c r="BN281" s="133"/>
      <c r="BO281" s="133"/>
      <c r="BP281" s="133"/>
      <c r="BQ281" s="133"/>
      <c r="BR281" s="133"/>
      <c r="BS281" s="133"/>
      <c r="BT281" s="133"/>
      <c r="BU281" s="133"/>
    </row>
    <row r="282" spans="15:73"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  <c r="AF282" s="133"/>
      <c r="AG282" s="133"/>
      <c r="AH282" s="133"/>
      <c r="AI282" s="133"/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  <c r="AY282" s="133"/>
      <c r="AZ282" s="133"/>
      <c r="BA282" s="133"/>
      <c r="BB282" s="133"/>
      <c r="BC282" s="133"/>
      <c r="BD282" s="133"/>
      <c r="BE282" s="133"/>
      <c r="BF282" s="133"/>
      <c r="BG282" s="133"/>
      <c r="BH282" s="133"/>
      <c r="BI282" s="133"/>
      <c r="BJ282" s="133"/>
      <c r="BK282" s="133"/>
      <c r="BL282" s="133"/>
      <c r="BM282" s="133"/>
      <c r="BN282" s="133"/>
      <c r="BO282" s="133"/>
      <c r="BP282" s="133"/>
      <c r="BQ282" s="133"/>
      <c r="BR282" s="133"/>
      <c r="BS282" s="133"/>
      <c r="BT282" s="133"/>
      <c r="BU282" s="133"/>
    </row>
    <row r="283" spans="15:73"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  <c r="AF283" s="133"/>
      <c r="AG283" s="133"/>
      <c r="AH283" s="133"/>
      <c r="AI283" s="133"/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  <c r="AV283" s="133"/>
      <c r="AW283" s="133"/>
      <c r="AX283" s="133"/>
      <c r="AY283" s="133"/>
      <c r="AZ283" s="133"/>
      <c r="BA283" s="133"/>
      <c r="BB283" s="133"/>
      <c r="BC283" s="133"/>
      <c r="BD283" s="133"/>
      <c r="BE283" s="133"/>
      <c r="BF283" s="133"/>
      <c r="BG283" s="133"/>
      <c r="BH283" s="133"/>
      <c r="BI283" s="133"/>
      <c r="BJ283" s="133"/>
      <c r="BK283" s="133"/>
      <c r="BL283" s="133"/>
      <c r="BM283" s="133"/>
      <c r="BN283" s="133"/>
      <c r="BO283" s="133"/>
      <c r="BP283" s="133"/>
      <c r="BQ283" s="133"/>
      <c r="BR283" s="133"/>
      <c r="BS283" s="133"/>
      <c r="BT283" s="133"/>
      <c r="BU283" s="133"/>
    </row>
    <row r="284" spans="15:73"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  <c r="AF284" s="133"/>
      <c r="AG284" s="133"/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  <c r="AY284" s="133"/>
      <c r="AZ284" s="133"/>
      <c r="BA284" s="133"/>
      <c r="BB284" s="133"/>
      <c r="BC284" s="133"/>
      <c r="BD284" s="133"/>
      <c r="BE284" s="133"/>
      <c r="BF284" s="133"/>
      <c r="BG284" s="133"/>
      <c r="BH284" s="133"/>
      <c r="BI284" s="133"/>
      <c r="BJ284" s="133"/>
      <c r="BK284" s="133"/>
      <c r="BL284" s="133"/>
      <c r="BM284" s="133"/>
      <c r="BN284" s="133"/>
      <c r="BO284" s="133"/>
      <c r="BP284" s="133"/>
      <c r="BQ284" s="133"/>
      <c r="BR284" s="133"/>
      <c r="BS284" s="133"/>
      <c r="BT284" s="133"/>
      <c r="BU284" s="133"/>
    </row>
    <row r="285" spans="15:73"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  <c r="AF285" s="133"/>
      <c r="AG285" s="133"/>
      <c r="AH285" s="133"/>
      <c r="AI285" s="133"/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  <c r="AV285" s="133"/>
      <c r="AW285" s="133"/>
      <c r="AX285" s="133"/>
      <c r="AY285" s="133"/>
      <c r="AZ285" s="133"/>
      <c r="BA285" s="133"/>
      <c r="BB285" s="133"/>
      <c r="BC285" s="133"/>
      <c r="BD285" s="133"/>
      <c r="BE285" s="133"/>
      <c r="BF285" s="133"/>
      <c r="BG285" s="133"/>
      <c r="BH285" s="133"/>
      <c r="BI285" s="133"/>
      <c r="BJ285" s="133"/>
      <c r="BK285" s="133"/>
      <c r="BL285" s="133"/>
      <c r="BM285" s="133"/>
      <c r="BN285" s="133"/>
      <c r="BO285" s="133"/>
      <c r="BP285" s="133"/>
      <c r="BQ285" s="133"/>
      <c r="BR285" s="133"/>
      <c r="BS285" s="133"/>
      <c r="BT285" s="133"/>
      <c r="BU285" s="133"/>
    </row>
    <row r="286" spans="15:73"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  <c r="AV286" s="133"/>
      <c r="AW286" s="133"/>
      <c r="AX286" s="133"/>
      <c r="AY286" s="133"/>
      <c r="AZ286" s="133"/>
      <c r="BA286" s="133"/>
      <c r="BB286" s="133"/>
      <c r="BC286" s="133"/>
      <c r="BD286" s="133"/>
      <c r="BE286" s="133"/>
      <c r="BF286" s="133"/>
      <c r="BG286" s="133"/>
      <c r="BH286" s="133"/>
      <c r="BI286" s="133"/>
      <c r="BJ286" s="133"/>
      <c r="BK286" s="133"/>
      <c r="BL286" s="133"/>
      <c r="BM286" s="133"/>
      <c r="BN286" s="133"/>
      <c r="BO286" s="133"/>
      <c r="BP286" s="133"/>
      <c r="BQ286" s="133"/>
      <c r="BR286" s="133"/>
      <c r="BS286" s="133"/>
      <c r="BT286" s="133"/>
      <c r="BU286" s="133"/>
    </row>
    <row r="287" spans="15:73"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  <c r="AV287" s="133"/>
      <c r="AW287" s="133"/>
      <c r="AX287" s="133"/>
      <c r="AY287" s="133"/>
      <c r="AZ287" s="133"/>
      <c r="BA287" s="133"/>
      <c r="BB287" s="133"/>
      <c r="BC287" s="133"/>
      <c r="BD287" s="133"/>
      <c r="BE287" s="133"/>
      <c r="BF287" s="133"/>
      <c r="BG287" s="133"/>
      <c r="BH287" s="133"/>
      <c r="BI287" s="133"/>
      <c r="BJ287" s="133"/>
      <c r="BK287" s="133"/>
      <c r="BL287" s="133"/>
      <c r="BM287" s="133"/>
      <c r="BN287" s="133"/>
      <c r="BO287" s="133"/>
      <c r="BP287" s="133"/>
      <c r="BQ287" s="133"/>
      <c r="BR287" s="133"/>
      <c r="BS287" s="133"/>
      <c r="BT287" s="133"/>
      <c r="BU287" s="133"/>
    </row>
    <row r="288" spans="15:73"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  <c r="AV288" s="133"/>
      <c r="AW288" s="133"/>
      <c r="AX288" s="133"/>
      <c r="AY288" s="133"/>
      <c r="AZ288" s="133"/>
      <c r="BA288" s="133"/>
      <c r="BB288" s="133"/>
      <c r="BC288" s="133"/>
      <c r="BD288" s="133"/>
      <c r="BE288" s="133"/>
      <c r="BF288" s="133"/>
      <c r="BG288" s="133"/>
      <c r="BH288" s="133"/>
      <c r="BI288" s="133"/>
      <c r="BJ288" s="133"/>
      <c r="BK288" s="133"/>
      <c r="BL288" s="133"/>
      <c r="BM288" s="133"/>
      <c r="BN288" s="133"/>
      <c r="BO288" s="133"/>
      <c r="BP288" s="133"/>
      <c r="BQ288" s="133"/>
      <c r="BR288" s="133"/>
      <c r="BS288" s="133"/>
      <c r="BT288" s="133"/>
      <c r="BU288" s="133"/>
    </row>
    <row r="289" spans="15:73"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  <c r="AV289" s="133"/>
      <c r="AW289" s="133"/>
      <c r="AX289" s="133"/>
      <c r="AY289" s="133"/>
      <c r="AZ289" s="133"/>
      <c r="BA289" s="133"/>
      <c r="BB289" s="133"/>
      <c r="BC289" s="133"/>
      <c r="BD289" s="133"/>
      <c r="BE289" s="133"/>
      <c r="BF289" s="133"/>
      <c r="BG289" s="133"/>
      <c r="BH289" s="133"/>
      <c r="BI289" s="133"/>
      <c r="BJ289" s="133"/>
      <c r="BK289" s="133"/>
      <c r="BL289" s="133"/>
      <c r="BM289" s="133"/>
      <c r="BN289" s="133"/>
      <c r="BO289" s="133"/>
      <c r="BP289" s="133"/>
      <c r="BQ289" s="133"/>
      <c r="BR289" s="133"/>
      <c r="BS289" s="133"/>
      <c r="BT289" s="133"/>
      <c r="BU289" s="133"/>
    </row>
    <row r="290" spans="15:73"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  <c r="AF290" s="133"/>
      <c r="AG290" s="133"/>
      <c r="AH290" s="133"/>
      <c r="AI290" s="133"/>
      <c r="AJ290" s="133"/>
      <c r="AK290" s="13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  <c r="AV290" s="133"/>
      <c r="AW290" s="133"/>
      <c r="AX290" s="133"/>
      <c r="AY290" s="133"/>
      <c r="AZ290" s="133"/>
      <c r="BA290" s="133"/>
      <c r="BB290" s="133"/>
      <c r="BC290" s="133"/>
      <c r="BD290" s="133"/>
      <c r="BE290" s="133"/>
      <c r="BF290" s="133"/>
      <c r="BG290" s="133"/>
      <c r="BH290" s="133"/>
      <c r="BI290" s="133"/>
      <c r="BJ290" s="133"/>
      <c r="BK290" s="133"/>
      <c r="BL290" s="133"/>
      <c r="BM290" s="133"/>
      <c r="BN290" s="133"/>
      <c r="BO290" s="133"/>
      <c r="BP290" s="133"/>
      <c r="BQ290" s="133"/>
      <c r="BR290" s="133"/>
      <c r="BS290" s="133"/>
      <c r="BT290" s="133"/>
      <c r="BU290" s="133"/>
    </row>
    <row r="291" spans="15:73"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  <c r="AF291" s="133"/>
      <c r="AG291" s="133"/>
      <c r="AH291" s="133"/>
      <c r="AI291" s="133"/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  <c r="AV291" s="133"/>
      <c r="AW291" s="133"/>
      <c r="AX291" s="133"/>
      <c r="AY291" s="133"/>
      <c r="AZ291" s="133"/>
      <c r="BA291" s="133"/>
      <c r="BB291" s="133"/>
      <c r="BC291" s="133"/>
      <c r="BD291" s="133"/>
      <c r="BE291" s="133"/>
      <c r="BF291" s="133"/>
      <c r="BG291" s="133"/>
      <c r="BH291" s="133"/>
      <c r="BI291" s="133"/>
      <c r="BJ291" s="133"/>
      <c r="BK291" s="133"/>
      <c r="BL291" s="133"/>
      <c r="BM291" s="133"/>
      <c r="BN291" s="133"/>
      <c r="BO291" s="133"/>
      <c r="BP291" s="133"/>
      <c r="BQ291" s="133"/>
      <c r="BR291" s="133"/>
      <c r="BS291" s="133"/>
      <c r="BT291" s="133"/>
      <c r="BU291" s="133"/>
    </row>
    <row r="292" spans="15:73"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  <c r="AF292" s="133"/>
      <c r="AG292" s="133"/>
      <c r="AH292" s="133"/>
      <c r="AI292" s="133"/>
      <c r="AJ292" s="133"/>
      <c r="AK292" s="13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  <c r="AV292" s="133"/>
      <c r="AW292" s="133"/>
      <c r="AX292" s="133"/>
      <c r="AY292" s="133"/>
      <c r="AZ292" s="133"/>
      <c r="BA292" s="133"/>
      <c r="BB292" s="133"/>
      <c r="BC292" s="133"/>
      <c r="BD292" s="133"/>
      <c r="BE292" s="133"/>
      <c r="BF292" s="133"/>
      <c r="BG292" s="133"/>
      <c r="BH292" s="133"/>
      <c r="BI292" s="133"/>
      <c r="BJ292" s="133"/>
      <c r="BK292" s="133"/>
      <c r="BL292" s="133"/>
      <c r="BM292" s="133"/>
      <c r="BN292" s="133"/>
      <c r="BO292" s="133"/>
      <c r="BP292" s="133"/>
      <c r="BQ292" s="133"/>
      <c r="BR292" s="133"/>
      <c r="BS292" s="133"/>
      <c r="BT292" s="133"/>
      <c r="BU292" s="133"/>
    </row>
    <row r="293" spans="15:73"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  <c r="AF293" s="133"/>
      <c r="AG293" s="133"/>
      <c r="AH293" s="133"/>
      <c r="AI293" s="133"/>
      <c r="AJ293" s="133"/>
      <c r="AK293" s="133"/>
      <c r="AL293" s="133"/>
      <c r="AM293" s="133"/>
      <c r="AN293" s="133"/>
      <c r="AO293" s="133"/>
      <c r="AP293" s="133"/>
      <c r="AQ293" s="133"/>
      <c r="AR293" s="133"/>
      <c r="AS293" s="133"/>
      <c r="AT293" s="133"/>
      <c r="AU293" s="133"/>
      <c r="AV293" s="133"/>
      <c r="AW293" s="133"/>
      <c r="AX293" s="133"/>
      <c r="AY293" s="133"/>
      <c r="AZ293" s="133"/>
      <c r="BA293" s="133"/>
      <c r="BB293" s="133"/>
      <c r="BC293" s="133"/>
      <c r="BD293" s="133"/>
      <c r="BE293" s="133"/>
      <c r="BF293" s="133"/>
      <c r="BG293" s="133"/>
      <c r="BH293" s="133"/>
      <c r="BI293" s="133"/>
      <c r="BJ293" s="133"/>
      <c r="BK293" s="133"/>
      <c r="BL293" s="133"/>
      <c r="BM293" s="133"/>
      <c r="BN293" s="133"/>
      <c r="BO293" s="133"/>
      <c r="BP293" s="133"/>
      <c r="BQ293" s="133"/>
      <c r="BR293" s="133"/>
      <c r="BS293" s="133"/>
      <c r="BT293" s="133"/>
      <c r="BU293" s="133"/>
    </row>
    <row r="294" spans="15:73"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  <c r="AF294" s="133"/>
      <c r="AG294" s="133"/>
      <c r="AH294" s="133"/>
      <c r="AI294" s="133"/>
      <c r="AJ294" s="133"/>
      <c r="AK294" s="133"/>
      <c r="AL294" s="133"/>
      <c r="AM294" s="133"/>
      <c r="AN294" s="133"/>
      <c r="AO294" s="133"/>
      <c r="AP294" s="133"/>
      <c r="AQ294" s="133"/>
      <c r="AR294" s="133"/>
      <c r="AS294" s="133"/>
      <c r="AT294" s="133"/>
      <c r="AU294" s="133"/>
      <c r="AV294" s="133"/>
      <c r="AW294" s="133"/>
      <c r="AX294" s="133"/>
      <c r="AY294" s="133"/>
      <c r="AZ294" s="133"/>
      <c r="BA294" s="133"/>
      <c r="BB294" s="133"/>
      <c r="BC294" s="133"/>
      <c r="BD294" s="133"/>
      <c r="BE294" s="133"/>
      <c r="BF294" s="133"/>
      <c r="BG294" s="133"/>
      <c r="BH294" s="133"/>
      <c r="BI294" s="133"/>
      <c r="BJ294" s="133"/>
      <c r="BK294" s="133"/>
      <c r="BL294" s="133"/>
      <c r="BM294" s="133"/>
      <c r="BN294" s="133"/>
      <c r="BO294" s="133"/>
      <c r="BP294" s="133"/>
      <c r="BQ294" s="133"/>
      <c r="BR294" s="133"/>
      <c r="BS294" s="133"/>
      <c r="BT294" s="133"/>
      <c r="BU294" s="133"/>
    </row>
    <row r="295" spans="15:73"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  <c r="AF295" s="133"/>
      <c r="AG295" s="133"/>
      <c r="AH295" s="133"/>
      <c r="AI295" s="133"/>
      <c r="AJ295" s="133"/>
      <c r="AK295" s="133"/>
      <c r="AL295" s="133"/>
      <c r="AM295" s="133"/>
      <c r="AN295" s="133"/>
      <c r="AO295" s="133"/>
      <c r="AP295" s="133"/>
      <c r="AQ295" s="133"/>
      <c r="AR295" s="133"/>
      <c r="AS295" s="133"/>
      <c r="AT295" s="133"/>
      <c r="AU295" s="133"/>
      <c r="AV295" s="133"/>
      <c r="AW295" s="133"/>
      <c r="AX295" s="133"/>
      <c r="AY295" s="133"/>
      <c r="AZ295" s="133"/>
      <c r="BA295" s="133"/>
      <c r="BB295" s="133"/>
      <c r="BC295" s="133"/>
      <c r="BD295" s="133"/>
      <c r="BE295" s="133"/>
      <c r="BF295" s="133"/>
      <c r="BG295" s="133"/>
      <c r="BH295" s="133"/>
      <c r="BI295" s="133"/>
      <c r="BJ295" s="133"/>
      <c r="BK295" s="133"/>
      <c r="BL295" s="133"/>
      <c r="BM295" s="133"/>
      <c r="BN295" s="133"/>
      <c r="BO295" s="133"/>
      <c r="BP295" s="133"/>
      <c r="BQ295" s="133"/>
      <c r="BR295" s="133"/>
      <c r="BS295" s="133"/>
      <c r="BT295" s="133"/>
      <c r="BU295" s="133"/>
    </row>
    <row r="296" spans="15:73"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  <c r="AF296" s="133"/>
      <c r="AG296" s="133"/>
      <c r="AH296" s="133"/>
      <c r="AI296" s="133"/>
      <c r="AJ296" s="133"/>
      <c r="AK296" s="133"/>
      <c r="AL296" s="133"/>
      <c r="AM296" s="133"/>
      <c r="AN296" s="133"/>
      <c r="AO296" s="133"/>
      <c r="AP296" s="133"/>
      <c r="AQ296" s="133"/>
      <c r="AR296" s="133"/>
      <c r="AS296" s="133"/>
      <c r="AT296" s="133"/>
      <c r="AU296" s="133"/>
      <c r="AV296" s="133"/>
      <c r="AW296" s="133"/>
      <c r="AX296" s="133"/>
      <c r="AY296" s="133"/>
      <c r="AZ296" s="133"/>
      <c r="BA296" s="133"/>
      <c r="BB296" s="133"/>
      <c r="BC296" s="133"/>
      <c r="BD296" s="133"/>
      <c r="BE296" s="133"/>
      <c r="BF296" s="133"/>
      <c r="BG296" s="133"/>
      <c r="BH296" s="133"/>
      <c r="BI296" s="133"/>
      <c r="BJ296" s="133"/>
      <c r="BK296" s="133"/>
      <c r="BL296" s="133"/>
      <c r="BM296" s="133"/>
      <c r="BN296" s="133"/>
      <c r="BO296" s="133"/>
      <c r="BP296" s="133"/>
      <c r="BQ296" s="133"/>
      <c r="BR296" s="133"/>
      <c r="BS296" s="133"/>
      <c r="BT296" s="133"/>
      <c r="BU296" s="133"/>
    </row>
    <row r="297" spans="15:73"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  <c r="AF297" s="133"/>
      <c r="AG297" s="133"/>
      <c r="AH297" s="133"/>
      <c r="AI297" s="133"/>
      <c r="AJ297" s="133"/>
      <c r="AK297" s="133"/>
      <c r="AL297" s="133"/>
      <c r="AM297" s="133"/>
      <c r="AN297" s="133"/>
      <c r="AO297" s="133"/>
      <c r="AP297" s="133"/>
      <c r="AQ297" s="133"/>
      <c r="AR297" s="133"/>
      <c r="AS297" s="133"/>
      <c r="AT297" s="133"/>
      <c r="AU297" s="133"/>
      <c r="AV297" s="133"/>
      <c r="AW297" s="133"/>
      <c r="AX297" s="133"/>
      <c r="AY297" s="133"/>
      <c r="AZ297" s="133"/>
      <c r="BA297" s="133"/>
      <c r="BB297" s="133"/>
      <c r="BC297" s="133"/>
      <c r="BD297" s="133"/>
      <c r="BE297" s="133"/>
      <c r="BF297" s="133"/>
      <c r="BG297" s="133"/>
      <c r="BH297" s="133"/>
      <c r="BI297" s="133"/>
      <c r="BJ297" s="133"/>
      <c r="BK297" s="133"/>
      <c r="BL297" s="133"/>
      <c r="BM297" s="133"/>
      <c r="BN297" s="133"/>
      <c r="BO297" s="133"/>
      <c r="BP297" s="133"/>
      <c r="BQ297" s="133"/>
      <c r="BR297" s="133"/>
      <c r="BS297" s="133"/>
      <c r="BT297" s="133"/>
      <c r="BU297" s="133"/>
    </row>
    <row r="298" spans="15:73"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  <c r="AF298" s="133"/>
      <c r="AG298" s="133"/>
      <c r="AH298" s="133"/>
      <c r="AI298" s="133"/>
      <c r="AJ298" s="133"/>
      <c r="AK298" s="133"/>
      <c r="AL298" s="133"/>
      <c r="AM298" s="133"/>
      <c r="AN298" s="133"/>
      <c r="AO298" s="133"/>
      <c r="AP298" s="133"/>
      <c r="AQ298" s="133"/>
      <c r="AR298" s="133"/>
      <c r="AS298" s="133"/>
      <c r="AT298" s="133"/>
      <c r="AU298" s="133"/>
      <c r="AV298" s="133"/>
      <c r="AW298" s="133"/>
      <c r="AX298" s="133"/>
      <c r="AY298" s="133"/>
      <c r="AZ298" s="133"/>
      <c r="BA298" s="133"/>
      <c r="BB298" s="133"/>
      <c r="BC298" s="133"/>
      <c r="BD298" s="133"/>
      <c r="BE298" s="133"/>
      <c r="BF298" s="133"/>
      <c r="BG298" s="133"/>
      <c r="BH298" s="133"/>
      <c r="BI298" s="133"/>
      <c r="BJ298" s="133"/>
      <c r="BK298" s="133"/>
      <c r="BL298" s="133"/>
      <c r="BM298" s="133"/>
      <c r="BN298" s="133"/>
      <c r="BO298" s="133"/>
      <c r="BP298" s="133"/>
      <c r="BQ298" s="133"/>
      <c r="BR298" s="133"/>
      <c r="BS298" s="133"/>
      <c r="BT298" s="133"/>
      <c r="BU298" s="133"/>
    </row>
    <row r="299" spans="15:73"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133"/>
      <c r="AG299" s="133"/>
      <c r="AH299" s="133"/>
      <c r="AI299" s="133"/>
      <c r="AJ299" s="133"/>
      <c r="AK299" s="133"/>
      <c r="AL299" s="133"/>
      <c r="AM299" s="133"/>
      <c r="AN299" s="133"/>
      <c r="AO299" s="133"/>
      <c r="AP299" s="133"/>
      <c r="AQ299" s="133"/>
      <c r="AR299" s="133"/>
      <c r="AS299" s="133"/>
      <c r="AT299" s="133"/>
      <c r="AU299" s="133"/>
      <c r="AV299" s="133"/>
      <c r="AW299" s="133"/>
      <c r="AX299" s="133"/>
      <c r="AY299" s="133"/>
      <c r="AZ299" s="133"/>
      <c r="BA299" s="133"/>
      <c r="BB299" s="133"/>
      <c r="BC299" s="133"/>
      <c r="BD299" s="133"/>
      <c r="BE299" s="133"/>
      <c r="BF299" s="133"/>
      <c r="BG299" s="133"/>
      <c r="BH299" s="133"/>
      <c r="BI299" s="133"/>
      <c r="BJ299" s="133"/>
      <c r="BK299" s="133"/>
      <c r="BL299" s="133"/>
      <c r="BM299" s="133"/>
      <c r="BN299" s="133"/>
      <c r="BO299" s="133"/>
      <c r="BP299" s="133"/>
      <c r="BQ299" s="133"/>
      <c r="BR299" s="133"/>
      <c r="BS299" s="133"/>
      <c r="BT299" s="133"/>
      <c r="BU299" s="133"/>
    </row>
    <row r="300" spans="15:73"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  <c r="AF300" s="133"/>
      <c r="AG300" s="133"/>
      <c r="AH300" s="133"/>
      <c r="AI300" s="133"/>
      <c r="AJ300" s="133"/>
      <c r="AK300" s="133"/>
      <c r="AL300" s="133"/>
      <c r="AM300" s="133"/>
      <c r="AN300" s="133"/>
      <c r="AO300" s="133"/>
      <c r="AP300" s="133"/>
      <c r="AQ300" s="133"/>
      <c r="AR300" s="133"/>
      <c r="AS300" s="133"/>
      <c r="AT300" s="133"/>
      <c r="AU300" s="133"/>
      <c r="AV300" s="133"/>
      <c r="AW300" s="133"/>
      <c r="AX300" s="133"/>
      <c r="AY300" s="133"/>
      <c r="AZ300" s="133"/>
      <c r="BA300" s="133"/>
      <c r="BB300" s="133"/>
      <c r="BC300" s="133"/>
      <c r="BD300" s="133"/>
      <c r="BE300" s="133"/>
      <c r="BF300" s="133"/>
      <c r="BG300" s="133"/>
      <c r="BH300" s="133"/>
      <c r="BI300" s="133"/>
      <c r="BJ300" s="133"/>
      <c r="BK300" s="133"/>
      <c r="BL300" s="133"/>
      <c r="BM300" s="133"/>
      <c r="BN300" s="133"/>
      <c r="BO300" s="133"/>
      <c r="BP300" s="133"/>
      <c r="BQ300" s="133"/>
      <c r="BR300" s="133"/>
      <c r="BS300" s="133"/>
      <c r="BT300" s="133"/>
      <c r="BU300" s="133"/>
    </row>
    <row r="301" spans="15:73"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133"/>
      <c r="AG301" s="133"/>
      <c r="AH301" s="133"/>
      <c r="AI301" s="133"/>
      <c r="AJ301" s="133"/>
      <c r="AK301" s="133"/>
      <c r="AL301" s="133"/>
      <c r="AM301" s="133"/>
      <c r="AN301" s="133"/>
      <c r="AO301" s="133"/>
      <c r="AP301" s="133"/>
      <c r="AQ301" s="133"/>
      <c r="AR301" s="133"/>
      <c r="AS301" s="133"/>
      <c r="AT301" s="133"/>
      <c r="AU301" s="133"/>
      <c r="AV301" s="133"/>
      <c r="AW301" s="133"/>
      <c r="AX301" s="133"/>
      <c r="AY301" s="133"/>
      <c r="AZ301" s="133"/>
      <c r="BA301" s="133"/>
      <c r="BB301" s="133"/>
      <c r="BC301" s="133"/>
      <c r="BD301" s="133"/>
      <c r="BE301" s="133"/>
      <c r="BF301" s="133"/>
      <c r="BG301" s="133"/>
      <c r="BH301" s="133"/>
      <c r="BI301" s="133"/>
      <c r="BJ301" s="133"/>
      <c r="BK301" s="133"/>
      <c r="BL301" s="133"/>
      <c r="BM301" s="133"/>
      <c r="BN301" s="133"/>
      <c r="BO301" s="133"/>
      <c r="BP301" s="133"/>
      <c r="BQ301" s="133"/>
      <c r="BR301" s="133"/>
      <c r="BS301" s="133"/>
      <c r="BT301" s="133"/>
      <c r="BU301" s="133"/>
    </row>
    <row r="302" spans="15:73"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  <c r="AF302" s="133"/>
      <c r="AG302" s="133"/>
      <c r="AH302" s="133"/>
      <c r="AI302" s="133"/>
      <c r="AJ302" s="133"/>
      <c r="AK302" s="133"/>
      <c r="AL302" s="133"/>
      <c r="AM302" s="133"/>
      <c r="AN302" s="133"/>
      <c r="AO302" s="133"/>
      <c r="AP302" s="133"/>
      <c r="AQ302" s="133"/>
      <c r="AR302" s="133"/>
      <c r="AS302" s="133"/>
      <c r="AT302" s="133"/>
      <c r="AU302" s="133"/>
      <c r="AV302" s="133"/>
      <c r="AW302" s="133"/>
      <c r="AX302" s="133"/>
      <c r="AY302" s="133"/>
      <c r="AZ302" s="133"/>
      <c r="BA302" s="133"/>
      <c r="BB302" s="133"/>
      <c r="BC302" s="133"/>
      <c r="BD302" s="133"/>
      <c r="BE302" s="133"/>
      <c r="BF302" s="133"/>
      <c r="BG302" s="133"/>
      <c r="BH302" s="133"/>
      <c r="BI302" s="133"/>
      <c r="BJ302" s="133"/>
      <c r="BK302" s="133"/>
      <c r="BL302" s="133"/>
      <c r="BM302" s="133"/>
      <c r="BN302" s="133"/>
      <c r="BO302" s="133"/>
      <c r="BP302" s="133"/>
      <c r="BQ302" s="133"/>
      <c r="BR302" s="133"/>
      <c r="BS302" s="133"/>
      <c r="BT302" s="133"/>
      <c r="BU302" s="133"/>
    </row>
    <row r="303" spans="15:73"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  <c r="AF303" s="133"/>
      <c r="AG303" s="133"/>
      <c r="AH303" s="133"/>
      <c r="AI303" s="133"/>
      <c r="AJ303" s="133"/>
      <c r="AK303" s="133"/>
      <c r="AL303" s="133"/>
      <c r="AM303" s="133"/>
      <c r="AN303" s="133"/>
      <c r="AO303" s="133"/>
      <c r="AP303" s="133"/>
      <c r="AQ303" s="133"/>
      <c r="AR303" s="133"/>
      <c r="AS303" s="133"/>
      <c r="AT303" s="133"/>
      <c r="AU303" s="133"/>
      <c r="AV303" s="133"/>
      <c r="AW303" s="133"/>
      <c r="AX303" s="133"/>
      <c r="AY303" s="133"/>
      <c r="AZ303" s="133"/>
      <c r="BA303" s="133"/>
      <c r="BB303" s="133"/>
      <c r="BC303" s="133"/>
      <c r="BD303" s="133"/>
      <c r="BE303" s="133"/>
      <c r="BF303" s="133"/>
      <c r="BG303" s="133"/>
      <c r="BH303" s="133"/>
      <c r="BI303" s="133"/>
      <c r="BJ303" s="133"/>
      <c r="BK303" s="133"/>
      <c r="BL303" s="133"/>
      <c r="BM303" s="133"/>
      <c r="BN303" s="133"/>
      <c r="BO303" s="133"/>
      <c r="BP303" s="133"/>
      <c r="BQ303" s="133"/>
      <c r="BR303" s="133"/>
      <c r="BS303" s="133"/>
      <c r="BT303" s="133"/>
      <c r="BU303" s="133"/>
    </row>
    <row r="304" spans="15:73"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  <c r="AF304" s="133"/>
      <c r="AG304" s="133"/>
      <c r="AH304" s="133"/>
      <c r="AI304" s="133"/>
      <c r="AJ304" s="133"/>
      <c r="AK304" s="133"/>
      <c r="AL304" s="133"/>
      <c r="AM304" s="133"/>
      <c r="AN304" s="133"/>
      <c r="AO304" s="133"/>
      <c r="AP304" s="133"/>
      <c r="AQ304" s="133"/>
      <c r="AR304" s="133"/>
      <c r="AS304" s="133"/>
      <c r="AT304" s="133"/>
      <c r="AU304" s="133"/>
      <c r="AV304" s="133"/>
      <c r="AW304" s="133"/>
      <c r="AX304" s="133"/>
      <c r="AY304" s="133"/>
      <c r="AZ304" s="133"/>
      <c r="BA304" s="133"/>
      <c r="BB304" s="133"/>
      <c r="BC304" s="133"/>
      <c r="BD304" s="133"/>
      <c r="BE304" s="133"/>
      <c r="BF304" s="133"/>
      <c r="BG304" s="133"/>
      <c r="BH304" s="133"/>
      <c r="BI304" s="133"/>
      <c r="BJ304" s="133"/>
      <c r="BK304" s="133"/>
      <c r="BL304" s="133"/>
      <c r="BM304" s="133"/>
      <c r="BN304" s="133"/>
      <c r="BO304" s="133"/>
      <c r="BP304" s="133"/>
      <c r="BQ304" s="133"/>
      <c r="BR304" s="133"/>
      <c r="BS304" s="133"/>
      <c r="BT304" s="133"/>
      <c r="BU304" s="133"/>
    </row>
    <row r="305" spans="15:73"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  <c r="AF305" s="133"/>
      <c r="AG305" s="133"/>
      <c r="AH305" s="133"/>
      <c r="AI305" s="133"/>
      <c r="AJ305" s="133"/>
      <c r="AK305" s="133"/>
      <c r="AL305" s="133"/>
      <c r="AM305" s="133"/>
      <c r="AN305" s="133"/>
      <c r="AO305" s="133"/>
      <c r="AP305" s="133"/>
      <c r="AQ305" s="133"/>
      <c r="AR305" s="133"/>
      <c r="AS305" s="133"/>
      <c r="AT305" s="133"/>
      <c r="AU305" s="133"/>
      <c r="AV305" s="133"/>
      <c r="AW305" s="133"/>
      <c r="AX305" s="133"/>
      <c r="AY305" s="133"/>
      <c r="AZ305" s="133"/>
      <c r="BA305" s="133"/>
      <c r="BB305" s="133"/>
      <c r="BC305" s="133"/>
      <c r="BD305" s="133"/>
      <c r="BE305" s="133"/>
      <c r="BF305" s="133"/>
      <c r="BG305" s="133"/>
      <c r="BH305" s="133"/>
      <c r="BI305" s="133"/>
      <c r="BJ305" s="133"/>
      <c r="BK305" s="133"/>
      <c r="BL305" s="133"/>
      <c r="BM305" s="133"/>
      <c r="BN305" s="133"/>
      <c r="BO305" s="133"/>
      <c r="BP305" s="133"/>
      <c r="BQ305" s="133"/>
      <c r="BR305" s="133"/>
      <c r="BS305" s="133"/>
      <c r="BT305" s="133"/>
      <c r="BU305" s="133"/>
    </row>
    <row r="306" spans="15:73"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  <c r="AF306" s="133"/>
      <c r="AG306" s="133"/>
      <c r="AH306" s="133"/>
      <c r="AI306" s="133"/>
      <c r="AJ306" s="133"/>
      <c r="AK306" s="133"/>
      <c r="AL306" s="133"/>
      <c r="AM306" s="133"/>
      <c r="AN306" s="133"/>
      <c r="AO306" s="133"/>
      <c r="AP306" s="133"/>
      <c r="AQ306" s="133"/>
      <c r="AR306" s="133"/>
      <c r="AS306" s="133"/>
      <c r="AT306" s="133"/>
      <c r="AU306" s="133"/>
      <c r="AV306" s="133"/>
      <c r="AW306" s="133"/>
      <c r="AX306" s="133"/>
      <c r="AY306" s="133"/>
      <c r="AZ306" s="133"/>
      <c r="BA306" s="133"/>
      <c r="BB306" s="133"/>
      <c r="BC306" s="133"/>
      <c r="BD306" s="133"/>
      <c r="BE306" s="133"/>
      <c r="BF306" s="133"/>
      <c r="BG306" s="133"/>
      <c r="BH306" s="133"/>
      <c r="BI306" s="133"/>
      <c r="BJ306" s="133"/>
      <c r="BK306" s="133"/>
      <c r="BL306" s="133"/>
      <c r="BM306" s="133"/>
      <c r="BN306" s="133"/>
      <c r="BO306" s="133"/>
      <c r="BP306" s="133"/>
      <c r="BQ306" s="133"/>
      <c r="BR306" s="133"/>
      <c r="BS306" s="133"/>
      <c r="BT306" s="133"/>
      <c r="BU306" s="133"/>
    </row>
    <row r="307" spans="15:73"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  <c r="AF307" s="133"/>
      <c r="AG307" s="133"/>
      <c r="AH307" s="133"/>
      <c r="AI307" s="133"/>
      <c r="AJ307" s="133"/>
      <c r="AK307" s="133"/>
      <c r="AL307" s="133"/>
      <c r="AM307" s="133"/>
      <c r="AN307" s="133"/>
      <c r="AO307" s="133"/>
      <c r="AP307" s="133"/>
      <c r="AQ307" s="133"/>
      <c r="AR307" s="133"/>
      <c r="AS307" s="133"/>
      <c r="AT307" s="133"/>
      <c r="AU307" s="133"/>
      <c r="AV307" s="133"/>
      <c r="AW307" s="133"/>
      <c r="AX307" s="133"/>
      <c r="AY307" s="133"/>
      <c r="AZ307" s="133"/>
      <c r="BA307" s="133"/>
      <c r="BB307" s="133"/>
      <c r="BC307" s="133"/>
      <c r="BD307" s="133"/>
      <c r="BE307" s="133"/>
      <c r="BF307" s="133"/>
      <c r="BG307" s="133"/>
      <c r="BH307" s="133"/>
      <c r="BI307" s="133"/>
      <c r="BJ307" s="133"/>
      <c r="BK307" s="133"/>
      <c r="BL307" s="133"/>
      <c r="BM307" s="133"/>
      <c r="BN307" s="133"/>
      <c r="BO307" s="133"/>
      <c r="BP307" s="133"/>
      <c r="BQ307" s="133"/>
      <c r="BR307" s="133"/>
      <c r="BS307" s="133"/>
      <c r="BT307" s="133"/>
      <c r="BU307" s="133"/>
    </row>
    <row r="308" spans="15:73"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  <c r="AF308" s="133"/>
      <c r="AG308" s="133"/>
      <c r="AH308" s="133"/>
      <c r="AI308" s="133"/>
      <c r="AJ308" s="133"/>
      <c r="AK308" s="133"/>
      <c r="AL308" s="133"/>
      <c r="AM308" s="133"/>
      <c r="AN308" s="133"/>
      <c r="AO308" s="133"/>
      <c r="AP308" s="133"/>
      <c r="AQ308" s="133"/>
      <c r="AR308" s="133"/>
      <c r="AS308" s="133"/>
      <c r="AT308" s="133"/>
      <c r="AU308" s="133"/>
      <c r="AV308" s="133"/>
      <c r="AW308" s="133"/>
      <c r="AX308" s="133"/>
      <c r="AY308" s="133"/>
      <c r="AZ308" s="133"/>
      <c r="BA308" s="133"/>
      <c r="BB308" s="133"/>
      <c r="BC308" s="133"/>
      <c r="BD308" s="133"/>
      <c r="BE308" s="133"/>
      <c r="BF308" s="133"/>
      <c r="BG308" s="133"/>
      <c r="BH308" s="133"/>
      <c r="BI308" s="133"/>
      <c r="BJ308" s="133"/>
      <c r="BK308" s="133"/>
      <c r="BL308" s="133"/>
      <c r="BM308" s="133"/>
      <c r="BN308" s="133"/>
      <c r="BO308" s="133"/>
      <c r="BP308" s="133"/>
      <c r="BQ308" s="133"/>
      <c r="BR308" s="133"/>
      <c r="BS308" s="133"/>
      <c r="BT308" s="133"/>
      <c r="BU308" s="133"/>
    </row>
    <row r="309" spans="15:73"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  <c r="AF309" s="133"/>
      <c r="AG309" s="133"/>
      <c r="AH309" s="133"/>
      <c r="AI309" s="133"/>
      <c r="AJ309" s="133"/>
      <c r="AK309" s="133"/>
      <c r="AL309" s="133"/>
      <c r="AM309" s="133"/>
      <c r="AN309" s="133"/>
      <c r="AO309" s="133"/>
      <c r="AP309" s="133"/>
      <c r="AQ309" s="133"/>
      <c r="AR309" s="133"/>
      <c r="AS309" s="133"/>
      <c r="AT309" s="133"/>
      <c r="AU309" s="133"/>
      <c r="AV309" s="133"/>
      <c r="AW309" s="133"/>
      <c r="AX309" s="133"/>
      <c r="AY309" s="133"/>
      <c r="AZ309" s="133"/>
      <c r="BA309" s="133"/>
      <c r="BB309" s="133"/>
      <c r="BC309" s="133"/>
      <c r="BD309" s="133"/>
      <c r="BE309" s="133"/>
      <c r="BF309" s="133"/>
      <c r="BG309" s="133"/>
      <c r="BH309" s="133"/>
      <c r="BI309" s="133"/>
      <c r="BJ309" s="133"/>
      <c r="BK309" s="133"/>
      <c r="BL309" s="133"/>
      <c r="BM309" s="133"/>
      <c r="BN309" s="133"/>
      <c r="BO309" s="133"/>
      <c r="BP309" s="133"/>
      <c r="BQ309" s="133"/>
      <c r="BR309" s="133"/>
      <c r="BS309" s="133"/>
      <c r="BT309" s="133"/>
      <c r="BU309" s="133"/>
    </row>
    <row r="310" spans="15:73"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  <c r="AF310" s="133"/>
      <c r="AG310" s="133"/>
      <c r="AH310" s="133"/>
      <c r="AI310" s="133"/>
      <c r="AJ310" s="133"/>
      <c r="AK310" s="133"/>
      <c r="AL310" s="133"/>
      <c r="AM310" s="133"/>
      <c r="AN310" s="133"/>
      <c r="AO310" s="133"/>
      <c r="AP310" s="133"/>
      <c r="AQ310" s="133"/>
      <c r="AR310" s="133"/>
      <c r="AS310" s="133"/>
      <c r="AT310" s="133"/>
      <c r="AU310" s="133"/>
      <c r="AV310" s="133"/>
      <c r="AW310" s="133"/>
      <c r="AX310" s="133"/>
      <c r="AY310" s="133"/>
      <c r="AZ310" s="133"/>
      <c r="BA310" s="133"/>
      <c r="BB310" s="133"/>
      <c r="BC310" s="133"/>
      <c r="BD310" s="133"/>
      <c r="BE310" s="133"/>
      <c r="BF310" s="133"/>
      <c r="BG310" s="133"/>
      <c r="BH310" s="133"/>
      <c r="BI310" s="133"/>
      <c r="BJ310" s="133"/>
      <c r="BK310" s="133"/>
      <c r="BL310" s="133"/>
      <c r="BM310" s="133"/>
      <c r="BN310" s="133"/>
      <c r="BO310" s="133"/>
      <c r="BP310" s="133"/>
      <c r="BQ310" s="133"/>
      <c r="BR310" s="133"/>
      <c r="BS310" s="133"/>
      <c r="BT310" s="133"/>
      <c r="BU310" s="133"/>
    </row>
    <row r="311" spans="15:73"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  <c r="AL311" s="133"/>
      <c r="AM311" s="133"/>
      <c r="AN311" s="133"/>
      <c r="AO311" s="133"/>
      <c r="AP311" s="133"/>
      <c r="AQ311" s="133"/>
      <c r="AR311" s="133"/>
      <c r="AS311" s="133"/>
      <c r="AT311" s="133"/>
      <c r="AU311" s="133"/>
      <c r="AV311" s="133"/>
      <c r="AW311" s="133"/>
      <c r="AX311" s="133"/>
      <c r="AY311" s="133"/>
      <c r="AZ311" s="133"/>
      <c r="BA311" s="133"/>
      <c r="BB311" s="133"/>
      <c r="BC311" s="133"/>
      <c r="BD311" s="133"/>
      <c r="BE311" s="133"/>
      <c r="BF311" s="133"/>
      <c r="BG311" s="133"/>
      <c r="BH311" s="133"/>
      <c r="BI311" s="133"/>
      <c r="BJ311" s="133"/>
      <c r="BK311" s="133"/>
      <c r="BL311" s="133"/>
      <c r="BM311" s="133"/>
      <c r="BN311" s="133"/>
      <c r="BO311" s="133"/>
      <c r="BP311" s="133"/>
      <c r="BQ311" s="133"/>
      <c r="BR311" s="133"/>
      <c r="BS311" s="133"/>
      <c r="BT311" s="133"/>
      <c r="BU311" s="133"/>
    </row>
    <row r="312" spans="15:73"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33"/>
      <c r="AL312" s="133"/>
      <c r="AM312" s="133"/>
      <c r="AN312" s="133"/>
      <c r="AO312" s="133"/>
      <c r="AP312" s="133"/>
      <c r="AQ312" s="133"/>
      <c r="AR312" s="133"/>
      <c r="AS312" s="133"/>
      <c r="AT312" s="133"/>
      <c r="AU312" s="133"/>
      <c r="AV312" s="133"/>
      <c r="AW312" s="133"/>
      <c r="AX312" s="133"/>
      <c r="AY312" s="133"/>
      <c r="AZ312" s="133"/>
      <c r="BA312" s="133"/>
      <c r="BB312" s="133"/>
      <c r="BC312" s="133"/>
      <c r="BD312" s="133"/>
      <c r="BE312" s="133"/>
      <c r="BF312" s="133"/>
      <c r="BG312" s="133"/>
      <c r="BH312" s="133"/>
      <c r="BI312" s="133"/>
      <c r="BJ312" s="133"/>
      <c r="BK312" s="133"/>
      <c r="BL312" s="133"/>
      <c r="BM312" s="133"/>
      <c r="BN312" s="133"/>
      <c r="BO312" s="133"/>
      <c r="BP312" s="133"/>
      <c r="BQ312" s="133"/>
      <c r="BR312" s="133"/>
      <c r="BS312" s="133"/>
      <c r="BT312" s="133"/>
      <c r="BU312" s="133"/>
    </row>
    <row r="313" spans="15:73"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  <c r="AF313" s="133"/>
      <c r="AG313" s="133"/>
      <c r="AH313" s="133"/>
      <c r="AI313" s="133"/>
      <c r="AJ313" s="133"/>
      <c r="AK313" s="133"/>
      <c r="AL313" s="133"/>
      <c r="AM313" s="133"/>
      <c r="AN313" s="133"/>
      <c r="AO313" s="133"/>
      <c r="AP313" s="133"/>
      <c r="AQ313" s="133"/>
      <c r="AR313" s="133"/>
      <c r="AS313" s="133"/>
      <c r="AT313" s="133"/>
      <c r="AU313" s="133"/>
      <c r="AV313" s="133"/>
      <c r="AW313" s="133"/>
      <c r="AX313" s="133"/>
      <c r="AY313" s="133"/>
      <c r="AZ313" s="133"/>
      <c r="BA313" s="133"/>
      <c r="BB313" s="133"/>
      <c r="BC313" s="133"/>
      <c r="BD313" s="133"/>
      <c r="BE313" s="133"/>
      <c r="BF313" s="133"/>
      <c r="BG313" s="133"/>
      <c r="BH313" s="133"/>
      <c r="BI313" s="133"/>
      <c r="BJ313" s="133"/>
      <c r="BK313" s="133"/>
      <c r="BL313" s="133"/>
      <c r="BM313" s="133"/>
      <c r="BN313" s="133"/>
      <c r="BO313" s="133"/>
      <c r="BP313" s="133"/>
      <c r="BQ313" s="133"/>
      <c r="BR313" s="133"/>
      <c r="BS313" s="133"/>
      <c r="BT313" s="133"/>
      <c r="BU313" s="133"/>
    </row>
    <row r="314" spans="15:73"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  <c r="AF314" s="133"/>
      <c r="AG314" s="133"/>
      <c r="AH314" s="133"/>
      <c r="AI314" s="133"/>
      <c r="AJ314" s="133"/>
      <c r="AK314" s="133"/>
      <c r="AL314" s="133"/>
      <c r="AM314" s="133"/>
      <c r="AN314" s="133"/>
      <c r="AO314" s="133"/>
      <c r="AP314" s="133"/>
      <c r="AQ314" s="133"/>
      <c r="AR314" s="133"/>
      <c r="AS314" s="133"/>
      <c r="AT314" s="133"/>
      <c r="AU314" s="133"/>
      <c r="AV314" s="133"/>
      <c r="AW314" s="133"/>
      <c r="AX314" s="133"/>
      <c r="AY314" s="133"/>
      <c r="AZ314" s="133"/>
      <c r="BA314" s="133"/>
      <c r="BB314" s="133"/>
      <c r="BC314" s="133"/>
      <c r="BD314" s="133"/>
      <c r="BE314" s="133"/>
      <c r="BF314" s="133"/>
      <c r="BG314" s="133"/>
      <c r="BH314" s="133"/>
      <c r="BI314" s="133"/>
      <c r="BJ314" s="133"/>
      <c r="BK314" s="133"/>
      <c r="BL314" s="133"/>
      <c r="BM314" s="133"/>
      <c r="BN314" s="133"/>
      <c r="BO314" s="133"/>
      <c r="BP314" s="133"/>
      <c r="BQ314" s="133"/>
      <c r="BR314" s="133"/>
      <c r="BS314" s="133"/>
      <c r="BT314" s="133"/>
      <c r="BU314" s="133"/>
    </row>
    <row r="315" spans="15:73"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33"/>
      <c r="AL315" s="133"/>
      <c r="AM315" s="133"/>
      <c r="AN315" s="133"/>
      <c r="AO315" s="133"/>
      <c r="AP315" s="133"/>
      <c r="AQ315" s="133"/>
      <c r="AR315" s="133"/>
      <c r="AS315" s="133"/>
      <c r="AT315" s="133"/>
      <c r="AU315" s="133"/>
      <c r="AV315" s="133"/>
      <c r="AW315" s="133"/>
      <c r="AX315" s="133"/>
      <c r="AY315" s="133"/>
      <c r="AZ315" s="133"/>
      <c r="BA315" s="133"/>
      <c r="BB315" s="133"/>
      <c r="BC315" s="133"/>
      <c r="BD315" s="133"/>
      <c r="BE315" s="133"/>
      <c r="BF315" s="133"/>
      <c r="BG315" s="133"/>
      <c r="BH315" s="133"/>
      <c r="BI315" s="133"/>
      <c r="BJ315" s="133"/>
      <c r="BK315" s="133"/>
      <c r="BL315" s="133"/>
      <c r="BM315" s="133"/>
      <c r="BN315" s="133"/>
      <c r="BO315" s="133"/>
      <c r="BP315" s="133"/>
      <c r="BQ315" s="133"/>
      <c r="BR315" s="133"/>
      <c r="BS315" s="133"/>
      <c r="BT315" s="133"/>
      <c r="BU315" s="133"/>
    </row>
    <row r="316" spans="15:73"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  <c r="AV316" s="133"/>
      <c r="AW316" s="133"/>
      <c r="AX316" s="133"/>
      <c r="AY316" s="133"/>
      <c r="AZ316" s="133"/>
      <c r="BA316" s="133"/>
      <c r="BB316" s="133"/>
      <c r="BC316" s="133"/>
      <c r="BD316" s="133"/>
      <c r="BE316" s="133"/>
      <c r="BF316" s="133"/>
      <c r="BG316" s="133"/>
      <c r="BH316" s="133"/>
      <c r="BI316" s="133"/>
      <c r="BJ316" s="133"/>
      <c r="BK316" s="133"/>
      <c r="BL316" s="133"/>
      <c r="BM316" s="133"/>
      <c r="BN316" s="133"/>
      <c r="BO316" s="133"/>
      <c r="BP316" s="133"/>
      <c r="BQ316" s="133"/>
      <c r="BR316" s="133"/>
      <c r="BS316" s="133"/>
      <c r="BT316" s="133"/>
      <c r="BU316" s="133"/>
    </row>
    <row r="317" spans="15:73"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33"/>
      <c r="AL317" s="133"/>
      <c r="AM317" s="133"/>
      <c r="AN317" s="133"/>
      <c r="AO317" s="133"/>
      <c r="AP317" s="133"/>
      <c r="AQ317" s="133"/>
      <c r="AR317" s="133"/>
      <c r="AS317" s="133"/>
      <c r="AT317" s="133"/>
      <c r="AU317" s="133"/>
      <c r="AV317" s="133"/>
      <c r="AW317" s="133"/>
      <c r="AX317" s="133"/>
      <c r="AY317" s="133"/>
      <c r="AZ317" s="133"/>
      <c r="BA317" s="133"/>
      <c r="BB317" s="133"/>
      <c r="BC317" s="133"/>
      <c r="BD317" s="133"/>
      <c r="BE317" s="133"/>
      <c r="BF317" s="133"/>
      <c r="BG317" s="133"/>
      <c r="BH317" s="133"/>
      <c r="BI317" s="133"/>
      <c r="BJ317" s="133"/>
      <c r="BK317" s="133"/>
      <c r="BL317" s="133"/>
      <c r="BM317" s="133"/>
      <c r="BN317" s="133"/>
      <c r="BO317" s="133"/>
      <c r="BP317" s="133"/>
      <c r="BQ317" s="133"/>
      <c r="BR317" s="133"/>
      <c r="BS317" s="133"/>
      <c r="BT317" s="133"/>
      <c r="BU317" s="133"/>
    </row>
    <row r="318" spans="15:73"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  <c r="AL318" s="133"/>
      <c r="AM318" s="133"/>
      <c r="AN318" s="133"/>
      <c r="AO318" s="133"/>
      <c r="AP318" s="133"/>
      <c r="AQ318" s="133"/>
      <c r="AR318" s="133"/>
      <c r="AS318" s="133"/>
      <c r="AT318" s="133"/>
      <c r="AU318" s="133"/>
      <c r="AV318" s="133"/>
      <c r="AW318" s="133"/>
      <c r="AX318" s="133"/>
      <c r="AY318" s="133"/>
      <c r="AZ318" s="133"/>
      <c r="BA318" s="133"/>
      <c r="BB318" s="133"/>
      <c r="BC318" s="133"/>
      <c r="BD318" s="133"/>
      <c r="BE318" s="133"/>
      <c r="BF318" s="133"/>
      <c r="BG318" s="133"/>
      <c r="BH318" s="133"/>
      <c r="BI318" s="133"/>
      <c r="BJ318" s="133"/>
      <c r="BK318" s="133"/>
      <c r="BL318" s="133"/>
      <c r="BM318" s="133"/>
      <c r="BN318" s="133"/>
      <c r="BO318" s="133"/>
      <c r="BP318" s="133"/>
      <c r="BQ318" s="133"/>
      <c r="BR318" s="133"/>
      <c r="BS318" s="133"/>
      <c r="BT318" s="133"/>
      <c r="BU318" s="133"/>
    </row>
    <row r="319" spans="15:73"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  <c r="AL319" s="133"/>
      <c r="AM319" s="133"/>
      <c r="AN319" s="133"/>
      <c r="AO319" s="133"/>
      <c r="AP319" s="133"/>
      <c r="AQ319" s="133"/>
      <c r="AR319" s="133"/>
      <c r="AS319" s="133"/>
      <c r="AT319" s="133"/>
      <c r="AU319" s="133"/>
      <c r="AV319" s="133"/>
      <c r="AW319" s="133"/>
      <c r="AX319" s="133"/>
      <c r="AY319" s="133"/>
      <c r="AZ319" s="133"/>
      <c r="BA319" s="133"/>
      <c r="BB319" s="133"/>
      <c r="BC319" s="133"/>
      <c r="BD319" s="133"/>
      <c r="BE319" s="133"/>
      <c r="BF319" s="133"/>
      <c r="BG319" s="133"/>
      <c r="BH319" s="133"/>
      <c r="BI319" s="133"/>
      <c r="BJ319" s="133"/>
      <c r="BK319" s="133"/>
      <c r="BL319" s="133"/>
      <c r="BM319" s="133"/>
      <c r="BN319" s="133"/>
      <c r="BO319" s="133"/>
      <c r="BP319" s="133"/>
      <c r="BQ319" s="133"/>
      <c r="BR319" s="133"/>
      <c r="BS319" s="133"/>
      <c r="BT319" s="133"/>
      <c r="BU319" s="133"/>
    </row>
    <row r="320" spans="15:73"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  <c r="AL320" s="133"/>
      <c r="AM320" s="133"/>
      <c r="AN320" s="133"/>
      <c r="AO320" s="133"/>
      <c r="AP320" s="133"/>
      <c r="AQ320" s="133"/>
      <c r="AR320" s="133"/>
      <c r="AS320" s="133"/>
      <c r="AT320" s="133"/>
      <c r="AU320" s="133"/>
      <c r="AV320" s="133"/>
      <c r="AW320" s="133"/>
      <c r="AX320" s="133"/>
      <c r="AY320" s="133"/>
      <c r="AZ320" s="133"/>
      <c r="BA320" s="133"/>
      <c r="BB320" s="133"/>
      <c r="BC320" s="133"/>
      <c r="BD320" s="133"/>
      <c r="BE320" s="133"/>
      <c r="BF320" s="133"/>
      <c r="BG320" s="133"/>
      <c r="BH320" s="133"/>
      <c r="BI320" s="133"/>
      <c r="BJ320" s="133"/>
      <c r="BK320" s="133"/>
      <c r="BL320" s="133"/>
      <c r="BM320" s="133"/>
      <c r="BN320" s="133"/>
      <c r="BO320" s="133"/>
      <c r="BP320" s="133"/>
      <c r="BQ320" s="133"/>
      <c r="BR320" s="133"/>
      <c r="BS320" s="133"/>
      <c r="BT320" s="133"/>
      <c r="BU320" s="133"/>
    </row>
    <row r="321" spans="15:73"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33"/>
      <c r="AL321" s="133"/>
      <c r="AM321" s="133"/>
      <c r="AN321" s="133"/>
      <c r="AO321" s="133"/>
      <c r="AP321" s="133"/>
      <c r="AQ321" s="133"/>
      <c r="AR321" s="133"/>
      <c r="AS321" s="133"/>
      <c r="AT321" s="133"/>
      <c r="AU321" s="133"/>
      <c r="AV321" s="133"/>
      <c r="AW321" s="133"/>
      <c r="AX321" s="133"/>
      <c r="AY321" s="133"/>
      <c r="AZ321" s="133"/>
      <c r="BA321" s="133"/>
      <c r="BB321" s="133"/>
      <c r="BC321" s="133"/>
      <c r="BD321" s="133"/>
      <c r="BE321" s="133"/>
      <c r="BF321" s="133"/>
      <c r="BG321" s="133"/>
      <c r="BH321" s="133"/>
      <c r="BI321" s="133"/>
      <c r="BJ321" s="133"/>
      <c r="BK321" s="133"/>
      <c r="BL321" s="133"/>
      <c r="BM321" s="133"/>
      <c r="BN321" s="133"/>
      <c r="BO321" s="133"/>
      <c r="BP321" s="133"/>
      <c r="BQ321" s="133"/>
      <c r="BR321" s="133"/>
      <c r="BS321" s="133"/>
      <c r="BT321" s="133"/>
      <c r="BU321" s="133"/>
    </row>
    <row r="322" spans="15:73"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  <c r="AF322" s="133"/>
      <c r="AG322" s="133"/>
      <c r="AH322" s="133"/>
      <c r="AI322" s="133"/>
      <c r="AJ322" s="133"/>
      <c r="AK322" s="133"/>
      <c r="AL322" s="133"/>
      <c r="AM322" s="133"/>
      <c r="AN322" s="133"/>
      <c r="AO322" s="133"/>
      <c r="AP322" s="133"/>
      <c r="AQ322" s="133"/>
      <c r="AR322" s="133"/>
      <c r="AS322" s="133"/>
      <c r="AT322" s="133"/>
      <c r="AU322" s="133"/>
      <c r="AV322" s="133"/>
      <c r="AW322" s="133"/>
      <c r="AX322" s="133"/>
      <c r="AY322" s="133"/>
      <c r="AZ322" s="133"/>
      <c r="BA322" s="133"/>
      <c r="BB322" s="133"/>
      <c r="BC322" s="133"/>
      <c r="BD322" s="133"/>
      <c r="BE322" s="133"/>
      <c r="BF322" s="133"/>
      <c r="BG322" s="133"/>
      <c r="BH322" s="133"/>
      <c r="BI322" s="133"/>
      <c r="BJ322" s="133"/>
      <c r="BK322" s="133"/>
      <c r="BL322" s="133"/>
      <c r="BM322" s="133"/>
      <c r="BN322" s="133"/>
      <c r="BO322" s="133"/>
      <c r="BP322" s="133"/>
      <c r="BQ322" s="133"/>
      <c r="BR322" s="133"/>
      <c r="BS322" s="133"/>
      <c r="BT322" s="133"/>
      <c r="BU322" s="133"/>
    </row>
    <row r="323" spans="15:73"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  <c r="AL323" s="133"/>
      <c r="AM323" s="133"/>
      <c r="AN323" s="133"/>
      <c r="AO323" s="133"/>
      <c r="AP323" s="133"/>
      <c r="AQ323" s="133"/>
      <c r="AR323" s="133"/>
      <c r="AS323" s="133"/>
      <c r="AT323" s="133"/>
      <c r="AU323" s="133"/>
      <c r="AV323" s="133"/>
      <c r="AW323" s="133"/>
      <c r="AX323" s="133"/>
      <c r="AY323" s="133"/>
      <c r="AZ323" s="133"/>
      <c r="BA323" s="133"/>
      <c r="BB323" s="133"/>
      <c r="BC323" s="133"/>
      <c r="BD323" s="133"/>
      <c r="BE323" s="133"/>
      <c r="BF323" s="133"/>
      <c r="BG323" s="133"/>
      <c r="BH323" s="133"/>
      <c r="BI323" s="133"/>
      <c r="BJ323" s="133"/>
      <c r="BK323" s="133"/>
      <c r="BL323" s="133"/>
      <c r="BM323" s="133"/>
      <c r="BN323" s="133"/>
      <c r="BO323" s="133"/>
      <c r="BP323" s="133"/>
      <c r="BQ323" s="133"/>
      <c r="BR323" s="133"/>
      <c r="BS323" s="133"/>
      <c r="BT323" s="133"/>
      <c r="BU323" s="133"/>
    </row>
    <row r="324" spans="15:73"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  <c r="AL324" s="133"/>
      <c r="AM324" s="133"/>
      <c r="AN324" s="133"/>
      <c r="AO324" s="133"/>
      <c r="AP324" s="133"/>
      <c r="AQ324" s="133"/>
      <c r="AR324" s="133"/>
      <c r="AS324" s="133"/>
      <c r="AT324" s="133"/>
      <c r="AU324" s="133"/>
      <c r="AV324" s="133"/>
      <c r="AW324" s="133"/>
      <c r="AX324" s="133"/>
      <c r="AY324" s="133"/>
      <c r="AZ324" s="133"/>
      <c r="BA324" s="133"/>
      <c r="BB324" s="133"/>
      <c r="BC324" s="133"/>
      <c r="BD324" s="133"/>
      <c r="BE324" s="133"/>
      <c r="BF324" s="133"/>
      <c r="BG324" s="133"/>
      <c r="BH324" s="133"/>
      <c r="BI324" s="133"/>
      <c r="BJ324" s="133"/>
      <c r="BK324" s="133"/>
      <c r="BL324" s="133"/>
      <c r="BM324" s="133"/>
      <c r="BN324" s="133"/>
      <c r="BO324" s="133"/>
      <c r="BP324" s="133"/>
      <c r="BQ324" s="133"/>
      <c r="BR324" s="133"/>
      <c r="BS324" s="133"/>
      <c r="BT324" s="133"/>
      <c r="BU324" s="133"/>
    </row>
    <row r="325" spans="15:73"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33"/>
      <c r="AL325" s="133"/>
      <c r="AM325" s="133"/>
      <c r="AN325" s="133"/>
      <c r="AO325" s="133"/>
      <c r="AP325" s="133"/>
      <c r="AQ325" s="133"/>
      <c r="AR325" s="133"/>
      <c r="AS325" s="133"/>
      <c r="AT325" s="133"/>
      <c r="AU325" s="133"/>
      <c r="AV325" s="133"/>
      <c r="AW325" s="133"/>
      <c r="AX325" s="133"/>
      <c r="AY325" s="133"/>
      <c r="AZ325" s="133"/>
      <c r="BA325" s="133"/>
      <c r="BB325" s="133"/>
      <c r="BC325" s="133"/>
      <c r="BD325" s="133"/>
      <c r="BE325" s="133"/>
      <c r="BF325" s="133"/>
      <c r="BG325" s="133"/>
      <c r="BH325" s="133"/>
      <c r="BI325" s="133"/>
      <c r="BJ325" s="133"/>
      <c r="BK325" s="133"/>
      <c r="BL325" s="133"/>
      <c r="BM325" s="133"/>
      <c r="BN325" s="133"/>
      <c r="BO325" s="133"/>
      <c r="BP325" s="133"/>
      <c r="BQ325" s="133"/>
      <c r="BR325" s="133"/>
      <c r="BS325" s="133"/>
      <c r="BT325" s="133"/>
      <c r="BU325" s="133"/>
    </row>
    <row r="326" spans="15:73"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  <c r="AL326" s="133"/>
      <c r="AM326" s="133"/>
      <c r="AN326" s="133"/>
      <c r="AO326" s="133"/>
      <c r="AP326" s="133"/>
      <c r="AQ326" s="133"/>
      <c r="AR326" s="133"/>
      <c r="AS326" s="133"/>
      <c r="AT326" s="133"/>
      <c r="AU326" s="133"/>
      <c r="AV326" s="133"/>
      <c r="AW326" s="133"/>
      <c r="AX326" s="133"/>
      <c r="AY326" s="133"/>
      <c r="AZ326" s="133"/>
      <c r="BA326" s="133"/>
      <c r="BB326" s="133"/>
      <c r="BC326" s="133"/>
      <c r="BD326" s="133"/>
      <c r="BE326" s="133"/>
      <c r="BF326" s="133"/>
      <c r="BG326" s="133"/>
      <c r="BH326" s="133"/>
      <c r="BI326" s="133"/>
      <c r="BJ326" s="133"/>
      <c r="BK326" s="133"/>
      <c r="BL326" s="133"/>
      <c r="BM326" s="133"/>
      <c r="BN326" s="133"/>
      <c r="BO326" s="133"/>
      <c r="BP326" s="133"/>
      <c r="BQ326" s="133"/>
      <c r="BR326" s="133"/>
      <c r="BS326" s="133"/>
      <c r="BT326" s="133"/>
      <c r="BU326" s="133"/>
    </row>
    <row r="327" spans="15:73"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  <c r="AH327" s="133"/>
      <c r="AI327" s="133"/>
      <c r="AJ327" s="133"/>
      <c r="AK327" s="133"/>
      <c r="AL327" s="133"/>
      <c r="AM327" s="133"/>
      <c r="AN327" s="133"/>
      <c r="AO327" s="133"/>
      <c r="AP327" s="133"/>
      <c r="AQ327" s="133"/>
      <c r="AR327" s="133"/>
      <c r="AS327" s="133"/>
      <c r="AT327" s="133"/>
      <c r="AU327" s="133"/>
      <c r="AV327" s="133"/>
      <c r="AW327" s="133"/>
      <c r="AX327" s="133"/>
      <c r="AY327" s="133"/>
      <c r="AZ327" s="133"/>
      <c r="BA327" s="133"/>
      <c r="BB327" s="133"/>
      <c r="BC327" s="133"/>
      <c r="BD327" s="133"/>
      <c r="BE327" s="133"/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  <c r="BS327" s="133"/>
      <c r="BT327" s="133"/>
      <c r="BU327" s="133"/>
    </row>
    <row r="328" spans="15:73"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  <c r="AH328" s="133"/>
      <c r="AI328" s="133"/>
      <c r="AJ328" s="133"/>
      <c r="AK328" s="133"/>
      <c r="AL328" s="133"/>
      <c r="AM328" s="133"/>
      <c r="AN328" s="133"/>
      <c r="AO328" s="133"/>
      <c r="AP328" s="133"/>
      <c r="AQ328" s="133"/>
      <c r="AR328" s="133"/>
      <c r="AS328" s="133"/>
      <c r="AT328" s="133"/>
      <c r="AU328" s="133"/>
      <c r="AV328" s="133"/>
      <c r="AW328" s="133"/>
      <c r="AX328" s="133"/>
      <c r="AY328" s="133"/>
      <c r="AZ328" s="133"/>
      <c r="BA328" s="133"/>
      <c r="BB328" s="133"/>
      <c r="BC328" s="133"/>
      <c r="BD328" s="133"/>
      <c r="BE328" s="133"/>
      <c r="BF328" s="133"/>
      <c r="BG328" s="133"/>
      <c r="BH328" s="133"/>
      <c r="BI328" s="133"/>
      <c r="BJ328" s="133"/>
      <c r="BK328" s="133"/>
      <c r="BL328" s="133"/>
      <c r="BM328" s="133"/>
      <c r="BN328" s="133"/>
      <c r="BO328" s="133"/>
      <c r="BP328" s="133"/>
      <c r="BQ328" s="133"/>
      <c r="BR328" s="133"/>
      <c r="BS328" s="133"/>
      <c r="BT328" s="133"/>
      <c r="BU328" s="133"/>
    </row>
    <row r="329" spans="15:73"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  <c r="AH329" s="133"/>
      <c r="AI329" s="133"/>
      <c r="AJ329" s="133"/>
      <c r="AK329" s="133"/>
      <c r="AL329" s="133"/>
      <c r="AM329" s="133"/>
      <c r="AN329" s="133"/>
      <c r="AO329" s="133"/>
      <c r="AP329" s="133"/>
      <c r="AQ329" s="133"/>
      <c r="AR329" s="133"/>
      <c r="AS329" s="133"/>
      <c r="AT329" s="133"/>
      <c r="AU329" s="133"/>
      <c r="AV329" s="133"/>
      <c r="AW329" s="133"/>
      <c r="AX329" s="133"/>
      <c r="AY329" s="133"/>
      <c r="AZ329" s="133"/>
      <c r="BA329" s="133"/>
      <c r="BB329" s="133"/>
      <c r="BC329" s="133"/>
      <c r="BD329" s="133"/>
      <c r="BE329" s="133"/>
      <c r="BF329" s="133"/>
      <c r="BG329" s="133"/>
      <c r="BH329" s="133"/>
      <c r="BI329" s="133"/>
      <c r="BJ329" s="133"/>
      <c r="BK329" s="133"/>
      <c r="BL329" s="133"/>
      <c r="BM329" s="133"/>
      <c r="BN329" s="133"/>
      <c r="BO329" s="133"/>
      <c r="BP329" s="133"/>
      <c r="BQ329" s="133"/>
      <c r="BR329" s="133"/>
      <c r="BS329" s="133"/>
      <c r="BT329" s="133"/>
      <c r="BU329" s="133"/>
    </row>
    <row r="330" spans="15:73"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  <c r="AH330" s="133"/>
      <c r="AI330" s="133"/>
      <c r="AJ330" s="133"/>
      <c r="AK330" s="133"/>
      <c r="AL330" s="133"/>
      <c r="AM330" s="133"/>
      <c r="AN330" s="133"/>
      <c r="AO330" s="133"/>
      <c r="AP330" s="133"/>
      <c r="AQ330" s="133"/>
      <c r="AR330" s="133"/>
      <c r="AS330" s="133"/>
      <c r="AT330" s="133"/>
      <c r="AU330" s="133"/>
      <c r="AV330" s="133"/>
      <c r="AW330" s="133"/>
      <c r="AX330" s="133"/>
      <c r="AY330" s="133"/>
      <c r="AZ330" s="133"/>
      <c r="BA330" s="133"/>
      <c r="BB330" s="133"/>
      <c r="BC330" s="133"/>
      <c r="BD330" s="133"/>
      <c r="BE330" s="133"/>
      <c r="BF330" s="133"/>
      <c r="BG330" s="133"/>
      <c r="BH330" s="133"/>
      <c r="BI330" s="133"/>
      <c r="BJ330" s="133"/>
      <c r="BK330" s="133"/>
      <c r="BL330" s="133"/>
      <c r="BM330" s="133"/>
      <c r="BN330" s="133"/>
      <c r="BO330" s="133"/>
      <c r="BP330" s="133"/>
      <c r="BQ330" s="133"/>
      <c r="BR330" s="133"/>
      <c r="BS330" s="133"/>
      <c r="BT330" s="133"/>
      <c r="BU330" s="133"/>
    </row>
    <row r="331" spans="15:73"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  <c r="AH331" s="133"/>
      <c r="AI331" s="133"/>
      <c r="AJ331" s="133"/>
      <c r="AK331" s="133"/>
      <c r="AL331" s="133"/>
      <c r="AM331" s="133"/>
      <c r="AN331" s="133"/>
      <c r="AO331" s="133"/>
      <c r="AP331" s="133"/>
      <c r="AQ331" s="133"/>
      <c r="AR331" s="133"/>
      <c r="AS331" s="133"/>
      <c r="AT331" s="133"/>
      <c r="AU331" s="133"/>
      <c r="AV331" s="133"/>
      <c r="AW331" s="133"/>
      <c r="AX331" s="133"/>
      <c r="AY331" s="133"/>
      <c r="AZ331" s="133"/>
      <c r="BA331" s="133"/>
      <c r="BB331" s="133"/>
      <c r="BC331" s="133"/>
      <c r="BD331" s="133"/>
      <c r="BE331" s="133"/>
      <c r="BF331" s="133"/>
      <c r="BG331" s="133"/>
      <c r="BH331" s="133"/>
      <c r="BI331" s="133"/>
      <c r="BJ331" s="133"/>
      <c r="BK331" s="133"/>
      <c r="BL331" s="133"/>
      <c r="BM331" s="133"/>
      <c r="BN331" s="133"/>
      <c r="BO331" s="133"/>
      <c r="BP331" s="133"/>
      <c r="BQ331" s="133"/>
      <c r="BR331" s="133"/>
      <c r="BS331" s="133"/>
      <c r="BT331" s="133"/>
      <c r="BU331" s="133"/>
    </row>
    <row r="332" spans="15:73"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  <c r="AH332" s="133"/>
      <c r="AI332" s="133"/>
      <c r="AJ332" s="133"/>
      <c r="AK332" s="133"/>
      <c r="AL332" s="133"/>
      <c r="AM332" s="133"/>
      <c r="AN332" s="133"/>
      <c r="AO332" s="133"/>
      <c r="AP332" s="133"/>
      <c r="AQ332" s="133"/>
      <c r="AR332" s="133"/>
      <c r="AS332" s="133"/>
      <c r="AT332" s="133"/>
      <c r="AU332" s="133"/>
      <c r="AV332" s="133"/>
      <c r="AW332" s="133"/>
      <c r="AX332" s="133"/>
      <c r="AY332" s="133"/>
      <c r="AZ332" s="133"/>
      <c r="BA332" s="133"/>
      <c r="BB332" s="133"/>
      <c r="BC332" s="133"/>
      <c r="BD332" s="133"/>
      <c r="BE332" s="133"/>
      <c r="BF332" s="133"/>
      <c r="BG332" s="133"/>
      <c r="BH332" s="133"/>
      <c r="BI332" s="133"/>
      <c r="BJ332" s="133"/>
      <c r="BK332" s="133"/>
      <c r="BL332" s="133"/>
      <c r="BM332" s="133"/>
      <c r="BN332" s="133"/>
      <c r="BO332" s="133"/>
      <c r="BP332" s="133"/>
      <c r="BQ332" s="133"/>
      <c r="BR332" s="133"/>
      <c r="BS332" s="133"/>
      <c r="BT332" s="133"/>
      <c r="BU332" s="133"/>
    </row>
    <row r="333" spans="15:73"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  <c r="AH333" s="133"/>
      <c r="AI333" s="133"/>
      <c r="AJ333" s="133"/>
      <c r="AK333" s="133"/>
      <c r="AL333" s="133"/>
      <c r="AM333" s="133"/>
      <c r="AN333" s="133"/>
      <c r="AO333" s="133"/>
      <c r="AP333" s="133"/>
      <c r="AQ333" s="133"/>
      <c r="AR333" s="133"/>
      <c r="AS333" s="133"/>
      <c r="AT333" s="133"/>
      <c r="AU333" s="133"/>
      <c r="AV333" s="133"/>
      <c r="AW333" s="133"/>
      <c r="AX333" s="133"/>
      <c r="AY333" s="133"/>
      <c r="AZ333" s="133"/>
      <c r="BA333" s="133"/>
      <c r="BB333" s="133"/>
      <c r="BC333" s="133"/>
      <c r="BD333" s="133"/>
      <c r="BE333" s="133"/>
      <c r="BF333" s="133"/>
      <c r="BG333" s="133"/>
      <c r="BH333" s="133"/>
      <c r="BI333" s="133"/>
      <c r="BJ333" s="133"/>
      <c r="BK333" s="133"/>
      <c r="BL333" s="133"/>
      <c r="BM333" s="133"/>
      <c r="BN333" s="133"/>
      <c r="BO333" s="133"/>
      <c r="BP333" s="133"/>
      <c r="BQ333" s="133"/>
      <c r="BR333" s="133"/>
      <c r="BS333" s="133"/>
      <c r="BT333" s="133"/>
      <c r="BU333" s="133"/>
    </row>
    <row r="334" spans="15:73"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  <c r="AH334" s="133"/>
      <c r="AI334" s="133"/>
      <c r="AJ334" s="133"/>
      <c r="AK334" s="133"/>
      <c r="AL334" s="133"/>
      <c r="AM334" s="133"/>
      <c r="AN334" s="133"/>
      <c r="AO334" s="133"/>
      <c r="AP334" s="133"/>
      <c r="AQ334" s="133"/>
      <c r="AR334" s="133"/>
      <c r="AS334" s="133"/>
      <c r="AT334" s="133"/>
      <c r="AU334" s="133"/>
      <c r="AV334" s="133"/>
      <c r="AW334" s="133"/>
      <c r="AX334" s="133"/>
      <c r="AY334" s="133"/>
      <c r="AZ334" s="133"/>
      <c r="BA334" s="133"/>
      <c r="BB334" s="133"/>
      <c r="BC334" s="133"/>
      <c r="BD334" s="133"/>
      <c r="BE334" s="133"/>
      <c r="BF334" s="133"/>
      <c r="BG334" s="133"/>
      <c r="BH334" s="133"/>
      <c r="BI334" s="133"/>
      <c r="BJ334" s="133"/>
      <c r="BK334" s="133"/>
      <c r="BL334" s="133"/>
      <c r="BM334" s="133"/>
      <c r="BN334" s="133"/>
      <c r="BO334" s="133"/>
      <c r="BP334" s="133"/>
      <c r="BQ334" s="133"/>
      <c r="BR334" s="133"/>
      <c r="BS334" s="133"/>
      <c r="BT334" s="133"/>
      <c r="BU334" s="133"/>
    </row>
    <row r="335" spans="15:73"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  <c r="AH335" s="133"/>
      <c r="AI335" s="133"/>
      <c r="AJ335" s="133"/>
      <c r="AK335" s="133"/>
      <c r="AL335" s="133"/>
      <c r="AM335" s="133"/>
      <c r="AN335" s="133"/>
      <c r="AO335" s="133"/>
      <c r="AP335" s="133"/>
      <c r="AQ335" s="133"/>
      <c r="AR335" s="133"/>
      <c r="AS335" s="133"/>
      <c r="AT335" s="133"/>
      <c r="AU335" s="133"/>
      <c r="AV335" s="133"/>
      <c r="AW335" s="133"/>
      <c r="AX335" s="133"/>
      <c r="AY335" s="133"/>
      <c r="AZ335" s="133"/>
      <c r="BA335" s="133"/>
      <c r="BB335" s="133"/>
      <c r="BC335" s="133"/>
      <c r="BD335" s="133"/>
      <c r="BE335" s="133"/>
      <c r="BF335" s="133"/>
      <c r="BG335" s="133"/>
      <c r="BH335" s="133"/>
      <c r="BI335" s="133"/>
      <c r="BJ335" s="133"/>
      <c r="BK335" s="133"/>
      <c r="BL335" s="133"/>
      <c r="BM335" s="133"/>
      <c r="BN335" s="133"/>
      <c r="BO335" s="133"/>
      <c r="BP335" s="133"/>
      <c r="BQ335" s="133"/>
      <c r="BR335" s="133"/>
      <c r="BS335" s="133"/>
      <c r="BT335" s="133"/>
      <c r="BU335" s="133"/>
    </row>
    <row r="336" spans="15:73"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  <c r="AH336" s="133"/>
      <c r="AI336" s="133"/>
      <c r="AJ336" s="133"/>
      <c r="AK336" s="133"/>
      <c r="AL336" s="133"/>
      <c r="AM336" s="133"/>
      <c r="AN336" s="133"/>
      <c r="AO336" s="133"/>
      <c r="AP336" s="133"/>
      <c r="AQ336" s="133"/>
      <c r="AR336" s="133"/>
      <c r="AS336" s="133"/>
      <c r="AT336" s="133"/>
      <c r="AU336" s="133"/>
      <c r="AV336" s="133"/>
      <c r="AW336" s="133"/>
      <c r="AX336" s="133"/>
      <c r="AY336" s="133"/>
      <c r="AZ336" s="133"/>
      <c r="BA336" s="133"/>
      <c r="BB336" s="133"/>
      <c r="BC336" s="133"/>
      <c r="BD336" s="133"/>
      <c r="BE336" s="133"/>
      <c r="BF336" s="133"/>
      <c r="BG336" s="133"/>
      <c r="BH336" s="133"/>
      <c r="BI336" s="133"/>
      <c r="BJ336" s="133"/>
      <c r="BK336" s="133"/>
      <c r="BL336" s="133"/>
      <c r="BM336" s="133"/>
      <c r="BN336" s="133"/>
      <c r="BO336" s="133"/>
      <c r="BP336" s="133"/>
      <c r="BQ336" s="133"/>
      <c r="BR336" s="133"/>
      <c r="BS336" s="133"/>
      <c r="BT336" s="133"/>
      <c r="BU336" s="133"/>
    </row>
    <row r="337" spans="15:73"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  <c r="AH337" s="133"/>
      <c r="AI337" s="133"/>
      <c r="AJ337" s="133"/>
      <c r="AK337" s="133"/>
      <c r="AL337" s="133"/>
      <c r="AM337" s="133"/>
      <c r="AN337" s="133"/>
      <c r="AO337" s="133"/>
      <c r="AP337" s="133"/>
      <c r="AQ337" s="133"/>
      <c r="AR337" s="133"/>
      <c r="AS337" s="133"/>
      <c r="AT337" s="133"/>
      <c r="AU337" s="133"/>
      <c r="AV337" s="133"/>
      <c r="AW337" s="133"/>
      <c r="AX337" s="133"/>
      <c r="AY337" s="133"/>
      <c r="AZ337" s="133"/>
      <c r="BA337" s="133"/>
      <c r="BB337" s="133"/>
      <c r="BC337" s="133"/>
      <c r="BD337" s="133"/>
      <c r="BE337" s="133"/>
      <c r="BF337" s="133"/>
      <c r="BG337" s="133"/>
      <c r="BH337" s="133"/>
      <c r="BI337" s="133"/>
      <c r="BJ337" s="133"/>
      <c r="BK337" s="133"/>
      <c r="BL337" s="133"/>
      <c r="BM337" s="133"/>
      <c r="BN337" s="133"/>
      <c r="BO337" s="133"/>
      <c r="BP337" s="133"/>
      <c r="BQ337" s="133"/>
      <c r="BR337" s="133"/>
      <c r="BS337" s="133"/>
      <c r="BT337" s="133"/>
      <c r="BU337" s="133"/>
    </row>
    <row r="338" spans="15:73"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  <c r="AH338" s="133"/>
      <c r="AI338" s="133"/>
      <c r="AJ338" s="133"/>
      <c r="AK338" s="133"/>
      <c r="AL338" s="133"/>
      <c r="AM338" s="133"/>
      <c r="AN338" s="133"/>
      <c r="AO338" s="133"/>
      <c r="AP338" s="133"/>
      <c r="AQ338" s="133"/>
      <c r="AR338" s="133"/>
      <c r="AS338" s="133"/>
      <c r="AT338" s="133"/>
      <c r="AU338" s="133"/>
      <c r="AV338" s="133"/>
      <c r="AW338" s="133"/>
      <c r="AX338" s="133"/>
      <c r="AY338" s="133"/>
      <c r="AZ338" s="133"/>
      <c r="BA338" s="133"/>
      <c r="BB338" s="133"/>
      <c r="BC338" s="133"/>
      <c r="BD338" s="133"/>
      <c r="BE338" s="133"/>
      <c r="BF338" s="133"/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  <c r="BS338" s="133"/>
      <c r="BT338" s="133"/>
      <c r="BU338" s="133"/>
    </row>
    <row r="339" spans="15:73"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  <c r="AH339" s="133"/>
      <c r="AI339" s="133"/>
      <c r="AJ339" s="133"/>
      <c r="AK339" s="133"/>
      <c r="AL339" s="133"/>
      <c r="AM339" s="133"/>
      <c r="AN339" s="133"/>
      <c r="AO339" s="133"/>
      <c r="AP339" s="133"/>
      <c r="AQ339" s="133"/>
      <c r="AR339" s="133"/>
      <c r="AS339" s="133"/>
      <c r="AT339" s="133"/>
      <c r="AU339" s="133"/>
      <c r="AV339" s="133"/>
      <c r="AW339" s="133"/>
      <c r="AX339" s="133"/>
      <c r="AY339" s="133"/>
      <c r="AZ339" s="133"/>
      <c r="BA339" s="133"/>
      <c r="BB339" s="133"/>
      <c r="BC339" s="133"/>
      <c r="BD339" s="133"/>
      <c r="BE339" s="133"/>
      <c r="BF339" s="133"/>
      <c r="BG339" s="133"/>
      <c r="BH339" s="133"/>
      <c r="BI339" s="133"/>
      <c r="BJ339" s="133"/>
      <c r="BK339" s="133"/>
      <c r="BL339" s="133"/>
      <c r="BM339" s="133"/>
      <c r="BN339" s="133"/>
      <c r="BO339" s="133"/>
      <c r="BP339" s="133"/>
      <c r="BQ339" s="133"/>
      <c r="BR339" s="133"/>
      <c r="BS339" s="133"/>
      <c r="BT339" s="133"/>
      <c r="BU339" s="133"/>
    </row>
    <row r="340" spans="15:73"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  <c r="AH340" s="133"/>
      <c r="AI340" s="133"/>
      <c r="AJ340" s="133"/>
      <c r="AK340" s="133"/>
      <c r="AL340" s="133"/>
      <c r="AM340" s="133"/>
      <c r="AN340" s="133"/>
      <c r="AO340" s="133"/>
      <c r="AP340" s="133"/>
      <c r="AQ340" s="133"/>
      <c r="AR340" s="133"/>
      <c r="AS340" s="133"/>
      <c r="AT340" s="133"/>
      <c r="AU340" s="133"/>
      <c r="AV340" s="133"/>
      <c r="AW340" s="133"/>
      <c r="AX340" s="133"/>
      <c r="AY340" s="133"/>
      <c r="AZ340" s="133"/>
      <c r="BA340" s="133"/>
      <c r="BB340" s="133"/>
      <c r="BC340" s="133"/>
      <c r="BD340" s="133"/>
      <c r="BE340" s="133"/>
      <c r="BF340" s="133"/>
      <c r="BG340" s="133"/>
      <c r="BH340" s="133"/>
      <c r="BI340" s="133"/>
      <c r="BJ340" s="133"/>
      <c r="BK340" s="133"/>
      <c r="BL340" s="133"/>
      <c r="BM340" s="133"/>
      <c r="BN340" s="133"/>
      <c r="BO340" s="133"/>
      <c r="BP340" s="133"/>
      <c r="BQ340" s="133"/>
      <c r="BR340" s="133"/>
      <c r="BS340" s="133"/>
      <c r="BT340" s="133"/>
      <c r="BU340" s="133"/>
    </row>
    <row r="341" spans="15:73"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  <c r="AH341" s="133"/>
      <c r="AI341" s="133"/>
      <c r="AJ341" s="133"/>
      <c r="AK341" s="133"/>
      <c r="AL341" s="133"/>
      <c r="AM341" s="133"/>
      <c r="AN341" s="133"/>
      <c r="AO341" s="133"/>
      <c r="AP341" s="133"/>
      <c r="AQ341" s="133"/>
      <c r="AR341" s="133"/>
      <c r="AS341" s="133"/>
      <c r="AT341" s="133"/>
      <c r="AU341" s="133"/>
      <c r="AV341" s="133"/>
      <c r="AW341" s="133"/>
      <c r="AX341" s="133"/>
      <c r="AY341" s="133"/>
      <c r="AZ341" s="133"/>
      <c r="BA341" s="133"/>
      <c r="BB341" s="133"/>
      <c r="BC341" s="133"/>
      <c r="BD341" s="133"/>
      <c r="BE341" s="133"/>
      <c r="BF341" s="133"/>
      <c r="BG341" s="133"/>
      <c r="BH341" s="133"/>
      <c r="BI341" s="133"/>
      <c r="BJ341" s="133"/>
      <c r="BK341" s="133"/>
      <c r="BL341" s="133"/>
      <c r="BM341" s="133"/>
      <c r="BN341" s="133"/>
      <c r="BO341" s="133"/>
      <c r="BP341" s="133"/>
      <c r="BQ341" s="133"/>
      <c r="BR341" s="133"/>
      <c r="BS341" s="133"/>
      <c r="BT341" s="133"/>
      <c r="BU341" s="133"/>
    </row>
    <row r="342" spans="15:73"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  <c r="AH342" s="133"/>
      <c r="AI342" s="133"/>
      <c r="AJ342" s="133"/>
      <c r="AK342" s="133"/>
      <c r="AL342" s="133"/>
      <c r="AM342" s="133"/>
      <c r="AN342" s="133"/>
      <c r="AO342" s="133"/>
      <c r="AP342" s="133"/>
      <c r="AQ342" s="133"/>
      <c r="AR342" s="133"/>
      <c r="AS342" s="133"/>
      <c r="AT342" s="133"/>
      <c r="AU342" s="133"/>
      <c r="AV342" s="133"/>
      <c r="AW342" s="133"/>
      <c r="AX342" s="133"/>
      <c r="AY342" s="133"/>
      <c r="AZ342" s="133"/>
      <c r="BA342" s="133"/>
      <c r="BB342" s="133"/>
      <c r="BC342" s="133"/>
      <c r="BD342" s="133"/>
      <c r="BE342" s="133"/>
      <c r="BF342" s="133"/>
      <c r="BG342" s="133"/>
      <c r="BH342" s="133"/>
      <c r="BI342" s="133"/>
      <c r="BJ342" s="133"/>
      <c r="BK342" s="133"/>
      <c r="BL342" s="133"/>
      <c r="BM342" s="133"/>
      <c r="BN342" s="133"/>
      <c r="BO342" s="133"/>
      <c r="BP342" s="133"/>
      <c r="BQ342" s="133"/>
      <c r="BR342" s="133"/>
      <c r="BS342" s="133"/>
      <c r="BT342" s="133"/>
      <c r="BU342" s="133"/>
    </row>
    <row r="343" spans="15:73"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  <c r="AH343" s="133"/>
      <c r="AI343" s="133"/>
      <c r="AJ343" s="133"/>
      <c r="AK343" s="133"/>
      <c r="AL343" s="133"/>
      <c r="AM343" s="133"/>
      <c r="AN343" s="133"/>
      <c r="AO343" s="133"/>
      <c r="AP343" s="133"/>
      <c r="AQ343" s="133"/>
      <c r="AR343" s="133"/>
      <c r="AS343" s="133"/>
      <c r="AT343" s="133"/>
      <c r="AU343" s="133"/>
      <c r="AV343" s="133"/>
      <c r="AW343" s="133"/>
      <c r="AX343" s="133"/>
      <c r="AY343" s="133"/>
      <c r="AZ343" s="133"/>
      <c r="BA343" s="133"/>
      <c r="BB343" s="133"/>
      <c r="BC343" s="133"/>
      <c r="BD343" s="133"/>
      <c r="BE343" s="133"/>
      <c r="BF343" s="133"/>
      <c r="BG343" s="133"/>
      <c r="BH343" s="133"/>
      <c r="BI343" s="133"/>
      <c r="BJ343" s="133"/>
      <c r="BK343" s="133"/>
      <c r="BL343" s="133"/>
      <c r="BM343" s="133"/>
      <c r="BN343" s="133"/>
      <c r="BO343" s="133"/>
      <c r="BP343" s="133"/>
      <c r="BQ343" s="133"/>
      <c r="BR343" s="133"/>
      <c r="BS343" s="133"/>
      <c r="BT343" s="133"/>
      <c r="BU343" s="133"/>
    </row>
    <row r="344" spans="15:73"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  <c r="AH344" s="133"/>
      <c r="AI344" s="133"/>
      <c r="AJ344" s="133"/>
      <c r="AK344" s="133"/>
      <c r="AL344" s="133"/>
      <c r="AM344" s="133"/>
      <c r="AN344" s="133"/>
      <c r="AO344" s="133"/>
      <c r="AP344" s="133"/>
      <c r="AQ344" s="133"/>
      <c r="AR344" s="133"/>
      <c r="AS344" s="133"/>
      <c r="AT344" s="133"/>
      <c r="AU344" s="133"/>
      <c r="AV344" s="133"/>
      <c r="AW344" s="133"/>
      <c r="AX344" s="133"/>
      <c r="AY344" s="133"/>
      <c r="AZ344" s="133"/>
      <c r="BA344" s="133"/>
      <c r="BB344" s="133"/>
      <c r="BC344" s="133"/>
      <c r="BD344" s="133"/>
      <c r="BE344" s="133"/>
      <c r="BF344" s="133"/>
      <c r="BG344" s="133"/>
      <c r="BH344" s="133"/>
      <c r="BI344" s="133"/>
      <c r="BJ344" s="133"/>
      <c r="BK344" s="133"/>
      <c r="BL344" s="133"/>
      <c r="BM344" s="133"/>
      <c r="BN344" s="133"/>
      <c r="BO344" s="133"/>
      <c r="BP344" s="133"/>
      <c r="BQ344" s="133"/>
      <c r="BR344" s="133"/>
      <c r="BS344" s="133"/>
      <c r="BT344" s="133"/>
      <c r="BU344" s="133"/>
    </row>
    <row r="345" spans="15:73"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  <c r="AH345" s="133"/>
      <c r="AI345" s="133"/>
      <c r="AJ345" s="133"/>
      <c r="AK345" s="133"/>
      <c r="AL345" s="133"/>
      <c r="AM345" s="133"/>
      <c r="AN345" s="133"/>
      <c r="AO345" s="133"/>
      <c r="AP345" s="133"/>
      <c r="AQ345" s="133"/>
      <c r="AR345" s="133"/>
      <c r="AS345" s="133"/>
      <c r="AT345" s="133"/>
      <c r="AU345" s="133"/>
      <c r="AV345" s="133"/>
      <c r="AW345" s="133"/>
      <c r="AX345" s="133"/>
      <c r="AY345" s="133"/>
      <c r="AZ345" s="133"/>
      <c r="BA345" s="133"/>
      <c r="BB345" s="133"/>
      <c r="BC345" s="133"/>
      <c r="BD345" s="133"/>
      <c r="BE345" s="133"/>
      <c r="BF345" s="133"/>
      <c r="BG345" s="133"/>
      <c r="BH345" s="133"/>
      <c r="BI345" s="133"/>
      <c r="BJ345" s="133"/>
      <c r="BK345" s="133"/>
      <c r="BL345" s="133"/>
      <c r="BM345" s="133"/>
      <c r="BN345" s="133"/>
      <c r="BO345" s="133"/>
      <c r="BP345" s="133"/>
      <c r="BQ345" s="133"/>
      <c r="BR345" s="133"/>
      <c r="BS345" s="133"/>
      <c r="BT345" s="133"/>
      <c r="BU345" s="133"/>
    </row>
    <row r="346" spans="15:73"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  <c r="AH346" s="133"/>
      <c r="AI346" s="133"/>
      <c r="AJ346" s="133"/>
      <c r="AK346" s="133"/>
      <c r="AL346" s="133"/>
      <c r="AM346" s="133"/>
      <c r="AN346" s="133"/>
      <c r="AO346" s="133"/>
      <c r="AP346" s="133"/>
      <c r="AQ346" s="133"/>
      <c r="AR346" s="133"/>
      <c r="AS346" s="133"/>
      <c r="AT346" s="133"/>
      <c r="AU346" s="133"/>
      <c r="AV346" s="133"/>
      <c r="AW346" s="133"/>
      <c r="AX346" s="133"/>
      <c r="AY346" s="133"/>
      <c r="AZ346" s="133"/>
      <c r="BA346" s="133"/>
      <c r="BB346" s="133"/>
      <c r="BC346" s="133"/>
      <c r="BD346" s="133"/>
      <c r="BE346" s="133"/>
      <c r="BF346" s="133"/>
      <c r="BG346" s="133"/>
      <c r="BH346" s="133"/>
      <c r="BI346" s="133"/>
      <c r="BJ346" s="133"/>
      <c r="BK346" s="133"/>
      <c r="BL346" s="133"/>
      <c r="BM346" s="133"/>
      <c r="BN346" s="133"/>
      <c r="BO346" s="133"/>
      <c r="BP346" s="133"/>
      <c r="BQ346" s="133"/>
      <c r="BR346" s="133"/>
      <c r="BS346" s="133"/>
      <c r="BT346" s="133"/>
      <c r="BU346" s="133"/>
    </row>
    <row r="347" spans="15:73"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  <c r="AH347" s="133"/>
      <c r="AI347" s="133"/>
      <c r="AJ347" s="133"/>
      <c r="AK347" s="133"/>
      <c r="AL347" s="133"/>
      <c r="AM347" s="133"/>
      <c r="AN347" s="133"/>
      <c r="AO347" s="133"/>
      <c r="AP347" s="133"/>
      <c r="AQ347" s="133"/>
      <c r="AR347" s="133"/>
      <c r="AS347" s="133"/>
      <c r="AT347" s="133"/>
      <c r="AU347" s="133"/>
      <c r="AV347" s="133"/>
      <c r="AW347" s="133"/>
      <c r="AX347" s="133"/>
      <c r="AY347" s="133"/>
      <c r="AZ347" s="133"/>
      <c r="BA347" s="133"/>
      <c r="BB347" s="133"/>
      <c r="BC347" s="133"/>
      <c r="BD347" s="133"/>
      <c r="BE347" s="133"/>
      <c r="BF347" s="133"/>
      <c r="BG347" s="133"/>
      <c r="BH347" s="133"/>
      <c r="BI347" s="133"/>
      <c r="BJ347" s="133"/>
      <c r="BK347" s="133"/>
      <c r="BL347" s="133"/>
      <c r="BM347" s="133"/>
      <c r="BN347" s="133"/>
      <c r="BO347" s="133"/>
      <c r="BP347" s="133"/>
      <c r="BQ347" s="133"/>
      <c r="BR347" s="133"/>
      <c r="BS347" s="133"/>
      <c r="BT347" s="133"/>
      <c r="BU347" s="133"/>
    </row>
    <row r="348" spans="15:73"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  <c r="AH348" s="133"/>
      <c r="AI348" s="133"/>
      <c r="AJ348" s="133"/>
      <c r="AK348" s="133"/>
      <c r="AL348" s="133"/>
      <c r="AM348" s="133"/>
      <c r="AN348" s="133"/>
      <c r="AO348" s="133"/>
      <c r="AP348" s="133"/>
      <c r="AQ348" s="133"/>
      <c r="AR348" s="133"/>
      <c r="AS348" s="133"/>
      <c r="AT348" s="133"/>
      <c r="AU348" s="133"/>
      <c r="AV348" s="133"/>
      <c r="AW348" s="133"/>
      <c r="AX348" s="133"/>
      <c r="AY348" s="133"/>
      <c r="AZ348" s="133"/>
      <c r="BA348" s="133"/>
      <c r="BB348" s="133"/>
      <c r="BC348" s="133"/>
      <c r="BD348" s="133"/>
      <c r="BE348" s="133"/>
      <c r="BF348" s="133"/>
      <c r="BG348" s="133"/>
      <c r="BH348" s="133"/>
      <c r="BI348" s="133"/>
      <c r="BJ348" s="133"/>
      <c r="BK348" s="133"/>
      <c r="BL348" s="133"/>
      <c r="BM348" s="133"/>
      <c r="BN348" s="133"/>
      <c r="BO348" s="133"/>
      <c r="BP348" s="133"/>
      <c r="BQ348" s="133"/>
      <c r="BR348" s="133"/>
      <c r="BS348" s="133"/>
      <c r="BT348" s="133"/>
      <c r="BU348" s="133"/>
    </row>
    <row r="349" spans="15:73"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  <c r="AH349" s="133"/>
      <c r="AI349" s="133"/>
      <c r="AJ349" s="133"/>
      <c r="AK349" s="133"/>
      <c r="AL349" s="133"/>
      <c r="AM349" s="133"/>
      <c r="AN349" s="133"/>
      <c r="AO349" s="133"/>
      <c r="AP349" s="133"/>
      <c r="AQ349" s="133"/>
      <c r="AR349" s="133"/>
      <c r="AS349" s="133"/>
      <c r="AT349" s="133"/>
      <c r="AU349" s="133"/>
      <c r="AV349" s="133"/>
      <c r="AW349" s="133"/>
      <c r="AX349" s="133"/>
      <c r="AY349" s="133"/>
      <c r="AZ349" s="133"/>
      <c r="BA349" s="133"/>
      <c r="BB349" s="133"/>
      <c r="BC349" s="133"/>
      <c r="BD349" s="133"/>
      <c r="BE349" s="133"/>
      <c r="BF349" s="133"/>
      <c r="BG349" s="133"/>
      <c r="BH349" s="133"/>
      <c r="BI349" s="133"/>
      <c r="BJ349" s="133"/>
      <c r="BK349" s="133"/>
      <c r="BL349" s="133"/>
      <c r="BM349" s="133"/>
      <c r="BN349" s="133"/>
      <c r="BO349" s="133"/>
      <c r="BP349" s="133"/>
      <c r="BQ349" s="133"/>
      <c r="BR349" s="133"/>
      <c r="BS349" s="133"/>
      <c r="BT349" s="133"/>
      <c r="BU349" s="133"/>
    </row>
    <row r="350" spans="15:73"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  <c r="AH350" s="133"/>
      <c r="AI350" s="133"/>
      <c r="AJ350" s="133"/>
      <c r="AK350" s="133"/>
      <c r="AL350" s="133"/>
      <c r="AM350" s="133"/>
      <c r="AN350" s="133"/>
      <c r="AO350" s="133"/>
      <c r="AP350" s="133"/>
      <c r="AQ350" s="133"/>
      <c r="AR350" s="133"/>
      <c r="AS350" s="133"/>
      <c r="AT350" s="133"/>
      <c r="AU350" s="133"/>
      <c r="AV350" s="133"/>
      <c r="AW350" s="133"/>
      <c r="AX350" s="133"/>
      <c r="AY350" s="133"/>
      <c r="AZ350" s="133"/>
      <c r="BA350" s="133"/>
      <c r="BB350" s="133"/>
      <c r="BC350" s="133"/>
      <c r="BD350" s="133"/>
      <c r="BE350" s="133"/>
      <c r="BF350" s="133"/>
      <c r="BG350" s="133"/>
      <c r="BH350" s="133"/>
      <c r="BI350" s="133"/>
      <c r="BJ350" s="133"/>
      <c r="BK350" s="133"/>
      <c r="BL350" s="133"/>
      <c r="BM350" s="133"/>
      <c r="BN350" s="133"/>
      <c r="BO350" s="133"/>
      <c r="BP350" s="133"/>
      <c r="BQ350" s="133"/>
      <c r="BR350" s="133"/>
      <c r="BS350" s="133"/>
      <c r="BT350" s="133"/>
      <c r="BU350" s="133"/>
    </row>
    <row r="351" spans="15:73"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  <c r="AH351" s="133"/>
      <c r="AI351" s="133"/>
      <c r="AJ351" s="133"/>
      <c r="AK351" s="133"/>
      <c r="AL351" s="133"/>
      <c r="AM351" s="133"/>
      <c r="AN351" s="133"/>
      <c r="AO351" s="133"/>
      <c r="AP351" s="133"/>
      <c r="AQ351" s="133"/>
      <c r="AR351" s="133"/>
      <c r="AS351" s="133"/>
      <c r="AT351" s="133"/>
      <c r="AU351" s="133"/>
      <c r="AV351" s="133"/>
      <c r="AW351" s="133"/>
      <c r="AX351" s="133"/>
      <c r="AY351" s="133"/>
      <c r="AZ351" s="133"/>
      <c r="BA351" s="133"/>
      <c r="BB351" s="133"/>
      <c r="BC351" s="133"/>
      <c r="BD351" s="133"/>
      <c r="BE351" s="133"/>
      <c r="BF351" s="133"/>
      <c r="BG351" s="133"/>
      <c r="BH351" s="133"/>
      <c r="BI351" s="133"/>
      <c r="BJ351" s="133"/>
      <c r="BK351" s="133"/>
      <c r="BL351" s="133"/>
      <c r="BM351" s="133"/>
      <c r="BN351" s="133"/>
      <c r="BO351" s="133"/>
      <c r="BP351" s="133"/>
      <c r="BQ351" s="133"/>
      <c r="BR351" s="133"/>
      <c r="BS351" s="133"/>
      <c r="BT351" s="133"/>
      <c r="BU351" s="133"/>
    </row>
    <row r="352" spans="15:73"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  <c r="AH352" s="133"/>
      <c r="AI352" s="133"/>
      <c r="AJ352" s="133"/>
      <c r="AK352" s="133"/>
      <c r="AL352" s="133"/>
      <c r="AM352" s="133"/>
      <c r="AN352" s="133"/>
      <c r="AO352" s="133"/>
      <c r="AP352" s="133"/>
      <c r="AQ352" s="133"/>
      <c r="AR352" s="133"/>
      <c r="AS352" s="133"/>
      <c r="AT352" s="133"/>
      <c r="AU352" s="133"/>
      <c r="AV352" s="133"/>
      <c r="AW352" s="133"/>
      <c r="AX352" s="133"/>
      <c r="AY352" s="133"/>
      <c r="AZ352" s="133"/>
      <c r="BA352" s="133"/>
      <c r="BB352" s="133"/>
      <c r="BC352" s="133"/>
      <c r="BD352" s="133"/>
      <c r="BE352" s="133"/>
      <c r="BF352" s="133"/>
      <c r="BG352" s="133"/>
      <c r="BH352" s="133"/>
      <c r="BI352" s="133"/>
      <c r="BJ352" s="133"/>
      <c r="BK352" s="133"/>
      <c r="BL352" s="133"/>
      <c r="BM352" s="133"/>
      <c r="BN352" s="133"/>
      <c r="BO352" s="133"/>
      <c r="BP352" s="133"/>
      <c r="BQ352" s="133"/>
      <c r="BR352" s="133"/>
      <c r="BS352" s="133"/>
      <c r="BT352" s="133"/>
      <c r="BU352" s="133"/>
    </row>
    <row r="353" spans="15:73"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  <c r="AH353" s="133"/>
      <c r="AI353" s="133"/>
      <c r="AJ353" s="133"/>
      <c r="AK353" s="133"/>
      <c r="AL353" s="133"/>
      <c r="AM353" s="133"/>
      <c r="AN353" s="133"/>
      <c r="AO353" s="133"/>
      <c r="AP353" s="133"/>
      <c r="AQ353" s="133"/>
      <c r="AR353" s="133"/>
      <c r="AS353" s="133"/>
      <c r="AT353" s="133"/>
      <c r="AU353" s="133"/>
      <c r="AV353" s="133"/>
      <c r="AW353" s="133"/>
      <c r="AX353" s="133"/>
      <c r="AY353" s="133"/>
      <c r="AZ353" s="133"/>
      <c r="BA353" s="133"/>
      <c r="BB353" s="133"/>
      <c r="BC353" s="133"/>
      <c r="BD353" s="133"/>
      <c r="BE353" s="133"/>
      <c r="BF353" s="133"/>
      <c r="BG353" s="133"/>
      <c r="BH353" s="133"/>
      <c r="BI353" s="133"/>
      <c r="BJ353" s="133"/>
      <c r="BK353" s="133"/>
      <c r="BL353" s="133"/>
      <c r="BM353" s="133"/>
      <c r="BN353" s="133"/>
      <c r="BO353" s="133"/>
      <c r="BP353" s="133"/>
      <c r="BQ353" s="133"/>
      <c r="BR353" s="133"/>
      <c r="BS353" s="133"/>
      <c r="BT353" s="133"/>
      <c r="BU353" s="133"/>
    </row>
    <row r="354" spans="15:73"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  <c r="AH354" s="133"/>
      <c r="AI354" s="133"/>
      <c r="AJ354" s="133"/>
      <c r="AK354" s="133"/>
      <c r="AL354" s="133"/>
      <c r="AM354" s="133"/>
      <c r="AN354" s="133"/>
      <c r="AO354" s="133"/>
      <c r="AP354" s="133"/>
      <c r="AQ354" s="133"/>
      <c r="AR354" s="133"/>
      <c r="AS354" s="133"/>
      <c r="AT354" s="133"/>
      <c r="AU354" s="133"/>
      <c r="AV354" s="133"/>
      <c r="AW354" s="133"/>
      <c r="AX354" s="133"/>
      <c r="AY354" s="133"/>
      <c r="AZ354" s="133"/>
      <c r="BA354" s="133"/>
      <c r="BB354" s="133"/>
      <c r="BC354" s="133"/>
      <c r="BD354" s="133"/>
      <c r="BE354" s="133"/>
      <c r="BF354" s="133"/>
      <c r="BG354" s="133"/>
      <c r="BH354" s="133"/>
      <c r="BI354" s="133"/>
      <c r="BJ354" s="133"/>
      <c r="BK354" s="133"/>
      <c r="BL354" s="133"/>
      <c r="BM354" s="133"/>
      <c r="BN354" s="133"/>
      <c r="BO354" s="133"/>
      <c r="BP354" s="133"/>
      <c r="BQ354" s="133"/>
      <c r="BR354" s="133"/>
      <c r="BS354" s="133"/>
      <c r="BT354" s="133"/>
      <c r="BU354" s="133"/>
    </row>
    <row r="355" spans="15:73"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  <c r="AH355" s="133"/>
      <c r="AI355" s="133"/>
      <c r="AJ355" s="133"/>
      <c r="AK355" s="133"/>
      <c r="AL355" s="133"/>
      <c r="AM355" s="133"/>
      <c r="AN355" s="133"/>
      <c r="AO355" s="133"/>
      <c r="AP355" s="133"/>
      <c r="AQ355" s="133"/>
      <c r="AR355" s="133"/>
      <c r="AS355" s="133"/>
      <c r="AT355" s="133"/>
      <c r="AU355" s="133"/>
      <c r="AV355" s="133"/>
      <c r="AW355" s="133"/>
      <c r="AX355" s="133"/>
      <c r="AY355" s="133"/>
      <c r="AZ355" s="133"/>
      <c r="BA355" s="133"/>
      <c r="BB355" s="133"/>
      <c r="BC355" s="133"/>
      <c r="BD355" s="133"/>
      <c r="BE355" s="133"/>
      <c r="BF355" s="133"/>
      <c r="BG355" s="133"/>
      <c r="BH355" s="133"/>
      <c r="BI355" s="133"/>
      <c r="BJ355" s="133"/>
      <c r="BK355" s="133"/>
      <c r="BL355" s="133"/>
      <c r="BM355" s="133"/>
      <c r="BN355" s="133"/>
      <c r="BO355" s="133"/>
      <c r="BP355" s="133"/>
      <c r="BQ355" s="133"/>
      <c r="BR355" s="133"/>
      <c r="BS355" s="133"/>
      <c r="BT355" s="133"/>
      <c r="BU355" s="133"/>
    </row>
    <row r="356" spans="15:73"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  <c r="AH356" s="133"/>
      <c r="AI356" s="133"/>
      <c r="AJ356" s="133"/>
      <c r="AK356" s="133"/>
      <c r="AL356" s="133"/>
      <c r="AM356" s="133"/>
      <c r="AN356" s="133"/>
      <c r="AO356" s="133"/>
      <c r="AP356" s="133"/>
      <c r="AQ356" s="133"/>
      <c r="AR356" s="133"/>
      <c r="AS356" s="133"/>
      <c r="AT356" s="133"/>
      <c r="AU356" s="133"/>
      <c r="AV356" s="133"/>
      <c r="AW356" s="133"/>
      <c r="AX356" s="133"/>
      <c r="AY356" s="133"/>
      <c r="AZ356" s="133"/>
      <c r="BA356" s="133"/>
      <c r="BB356" s="133"/>
      <c r="BC356" s="133"/>
      <c r="BD356" s="133"/>
      <c r="BE356" s="133"/>
      <c r="BF356" s="133"/>
      <c r="BG356" s="133"/>
      <c r="BH356" s="133"/>
      <c r="BI356" s="133"/>
      <c r="BJ356" s="133"/>
      <c r="BK356" s="133"/>
      <c r="BL356" s="133"/>
      <c r="BM356" s="133"/>
      <c r="BN356" s="133"/>
      <c r="BO356" s="133"/>
      <c r="BP356" s="133"/>
      <c r="BQ356" s="133"/>
      <c r="BR356" s="133"/>
      <c r="BS356" s="133"/>
      <c r="BT356" s="133"/>
      <c r="BU356" s="133"/>
    </row>
    <row r="357" spans="15:73"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  <c r="AH357" s="133"/>
      <c r="AI357" s="133"/>
      <c r="AJ357" s="133"/>
      <c r="AK357" s="133"/>
      <c r="AL357" s="133"/>
      <c r="AM357" s="133"/>
      <c r="AN357" s="133"/>
      <c r="AO357" s="133"/>
      <c r="AP357" s="133"/>
      <c r="AQ357" s="133"/>
      <c r="AR357" s="133"/>
      <c r="AS357" s="133"/>
      <c r="AT357" s="133"/>
      <c r="AU357" s="133"/>
      <c r="AV357" s="133"/>
      <c r="AW357" s="133"/>
      <c r="AX357" s="133"/>
      <c r="AY357" s="133"/>
      <c r="AZ357" s="133"/>
      <c r="BA357" s="133"/>
      <c r="BB357" s="133"/>
      <c r="BC357" s="133"/>
      <c r="BD357" s="133"/>
      <c r="BE357" s="133"/>
      <c r="BF357" s="133"/>
      <c r="BG357" s="133"/>
      <c r="BH357" s="133"/>
      <c r="BI357" s="133"/>
      <c r="BJ357" s="133"/>
      <c r="BK357" s="133"/>
      <c r="BL357" s="133"/>
      <c r="BM357" s="133"/>
      <c r="BN357" s="133"/>
      <c r="BO357" s="133"/>
      <c r="BP357" s="133"/>
      <c r="BQ357" s="133"/>
      <c r="BR357" s="133"/>
      <c r="BS357" s="133"/>
      <c r="BT357" s="133"/>
      <c r="BU357" s="133"/>
    </row>
    <row r="358" spans="15:73"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  <c r="AH358" s="133"/>
      <c r="AI358" s="133"/>
      <c r="AJ358" s="133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  <c r="AV358" s="133"/>
      <c r="AW358" s="133"/>
      <c r="AX358" s="133"/>
      <c r="AY358" s="133"/>
      <c r="AZ358" s="133"/>
      <c r="BA358" s="133"/>
      <c r="BB358" s="133"/>
      <c r="BC358" s="133"/>
      <c r="BD358" s="133"/>
      <c r="BE358" s="133"/>
      <c r="BF358" s="133"/>
      <c r="BG358" s="133"/>
      <c r="BH358" s="133"/>
      <c r="BI358" s="133"/>
      <c r="BJ358" s="133"/>
      <c r="BK358" s="133"/>
      <c r="BL358" s="133"/>
      <c r="BM358" s="133"/>
      <c r="BN358" s="133"/>
      <c r="BO358" s="133"/>
      <c r="BP358" s="133"/>
      <c r="BQ358" s="133"/>
      <c r="BR358" s="133"/>
      <c r="BS358" s="133"/>
      <c r="BT358" s="133"/>
      <c r="BU358" s="133"/>
    </row>
    <row r="359" spans="15:73"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  <c r="AH359" s="133"/>
      <c r="AI359" s="133"/>
      <c r="AJ359" s="133"/>
      <c r="AK359" s="133"/>
      <c r="AL359" s="133"/>
      <c r="AM359" s="133"/>
      <c r="AN359" s="133"/>
      <c r="AO359" s="133"/>
      <c r="AP359" s="133"/>
      <c r="AQ359" s="133"/>
      <c r="AR359" s="133"/>
      <c r="AS359" s="133"/>
      <c r="AT359" s="133"/>
      <c r="AU359" s="133"/>
      <c r="AV359" s="133"/>
      <c r="AW359" s="133"/>
      <c r="AX359" s="133"/>
      <c r="AY359" s="133"/>
      <c r="AZ359" s="133"/>
      <c r="BA359" s="133"/>
      <c r="BB359" s="133"/>
      <c r="BC359" s="133"/>
      <c r="BD359" s="133"/>
      <c r="BE359" s="133"/>
      <c r="BF359" s="133"/>
      <c r="BG359" s="133"/>
      <c r="BH359" s="133"/>
      <c r="BI359" s="133"/>
      <c r="BJ359" s="133"/>
      <c r="BK359" s="133"/>
      <c r="BL359" s="133"/>
      <c r="BM359" s="133"/>
      <c r="BN359" s="133"/>
      <c r="BO359" s="133"/>
      <c r="BP359" s="133"/>
      <c r="BQ359" s="133"/>
      <c r="BR359" s="133"/>
      <c r="BS359" s="133"/>
      <c r="BT359" s="133"/>
      <c r="BU359" s="133"/>
    </row>
    <row r="360" spans="15:73"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  <c r="AH360" s="133"/>
      <c r="AI360" s="133"/>
      <c r="AJ360" s="133"/>
      <c r="AK360" s="133"/>
      <c r="AL360" s="133"/>
      <c r="AM360" s="133"/>
      <c r="AN360" s="133"/>
      <c r="AO360" s="133"/>
      <c r="AP360" s="133"/>
      <c r="AQ360" s="133"/>
      <c r="AR360" s="133"/>
      <c r="AS360" s="133"/>
      <c r="AT360" s="133"/>
      <c r="AU360" s="133"/>
      <c r="AV360" s="133"/>
      <c r="AW360" s="133"/>
      <c r="AX360" s="133"/>
      <c r="AY360" s="133"/>
      <c r="AZ360" s="133"/>
      <c r="BA360" s="133"/>
      <c r="BB360" s="133"/>
      <c r="BC360" s="133"/>
      <c r="BD360" s="133"/>
      <c r="BE360" s="133"/>
      <c r="BF360" s="133"/>
      <c r="BG360" s="133"/>
      <c r="BH360" s="133"/>
      <c r="BI360" s="133"/>
      <c r="BJ360" s="133"/>
      <c r="BK360" s="133"/>
      <c r="BL360" s="133"/>
      <c r="BM360" s="133"/>
      <c r="BN360" s="133"/>
      <c r="BO360" s="133"/>
      <c r="BP360" s="133"/>
      <c r="BQ360" s="133"/>
      <c r="BR360" s="133"/>
      <c r="BS360" s="133"/>
      <c r="BT360" s="133"/>
      <c r="BU360" s="133"/>
    </row>
    <row r="361" spans="15:73"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  <c r="AH361" s="133"/>
      <c r="AI361" s="133"/>
      <c r="AJ361" s="133"/>
      <c r="AK361" s="133"/>
      <c r="AL361" s="133"/>
      <c r="AM361" s="133"/>
      <c r="AN361" s="133"/>
      <c r="AO361" s="133"/>
      <c r="AP361" s="133"/>
      <c r="AQ361" s="133"/>
      <c r="AR361" s="133"/>
      <c r="AS361" s="133"/>
      <c r="AT361" s="133"/>
      <c r="AU361" s="133"/>
      <c r="AV361" s="133"/>
      <c r="AW361" s="133"/>
      <c r="AX361" s="133"/>
      <c r="AY361" s="133"/>
      <c r="AZ361" s="133"/>
      <c r="BA361" s="133"/>
      <c r="BB361" s="133"/>
      <c r="BC361" s="133"/>
      <c r="BD361" s="133"/>
      <c r="BE361" s="133"/>
      <c r="BF361" s="133"/>
      <c r="BG361" s="133"/>
      <c r="BH361" s="133"/>
      <c r="BI361" s="133"/>
      <c r="BJ361" s="133"/>
      <c r="BK361" s="133"/>
      <c r="BL361" s="133"/>
      <c r="BM361" s="133"/>
      <c r="BN361" s="133"/>
      <c r="BO361" s="133"/>
      <c r="BP361" s="133"/>
      <c r="BQ361" s="133"/>
      <c r="BR361" s="133"/>
      <c r="BS361" s="133"/>
      <c r="BT361" s="133"/>
      <c r="BU361" s="133"/>
    </row>
    <row r="362" spans="15:73"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  <c r="AH362" s="133"/>
      <c r="AI362" s="133"/>
      <c r="AJ362" s="133"/>
      <c r="AK362" s="133"/>
      <c r="AL362" s="133"/>
      <c r="AM362" s="133"/>
      <c r="AN362" s="133"/>
      <c r="AO362" s="133"/>
      <c r="AP362" s="133"/>
      <c r="AQ362" s="133"/>
      <c r="AR362" s="133"/>
      <c r="AS362" s="133"/>
      <c r="AT362" s="133"/>
      <c r="AU362" s="133"/>
      <c r="AV362" s="133"/>
      <c r="AW362" s="133"/>
      <c r="AX362" s="133"/>
      <c r="AY362" s="133"/>
      <c r="AZ362" s="133"/>
      <c r="BA362" s="133"/>
      <c r="BB362" s="133"/>
      <c r="BC362" s="133"/>
      <c r="BD362" s="133"/>
      <c r="BE362" s="133"/>
      <c r="BF362" s="133"/>
      <c r="BG362" s="133"/>
      <c r="BH362" s="133"/>
      <c r="BI362" s="133"/>
      <c r="BJ362" s="133"/>
      <c r="BK362" s="133"/>
      <c r="BL362" s="133"/>
      <c r="BM362" s="133"/>
      <c r="BN362" s="133"/>
      <c r="BO362" s="133"/>
      <c r="BP362" s="133"/>
      <c r="BQ362" s="133"/>
      <c r="BR362" s="133"/>
      <c r="BS362" s="133"/>
      <c r="BT362" s="133"/>
      <c r="BU362" s="133"/>
    </row>
    <row r="363" spans="15:73"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  <c r="AH363" s="133"/>
      <c r="AI363" s="133"/>
      <c r="AJ363" s="133"/>
      <c r="AK363" s="133"/>
      <c r="AL363" s="133"/>
      <c r="AM363" s="133"/>
      <c r="AN363" s="133"/>
      <c r="AO363" s="133"/>
      <c r="AP363" s="133"/>
      <c r="AQ363" s="133"/>
      <c r="AR363" s="133"/>
      <c r="AS363" s="133"/>
      <c r="AT363" s="133"/>
      <c r="AU363" s="133"/>
      <c r="AV363" s="133"/>
      <c r="AW363" s="133"/>
      <c r="AX363" s="133"/>
      <c r="AY363" s="133"/>
      <c r="AZ363" s="133"/>
      <c r="BA363" s="133"/>
      <c r="BB363" s="133"/>
      <c r="BC363" s="133"/>
      <c r="BD363" s="133"/>
      <c r="BE363" s="133"/>
      <c r="BF363" s="133"/>
      <c r="BG363" s="133"/>
      <c r="BH363" s="133"/>
      <c r="BI363" s="133"/>
      <c r="BJ363" s="133"/>
      <c r="BK363" s="133"/>
      <c r="BL363" s="133"/>
      <c r="BM363" s="133"/>
      <c r="BN363" s="133"/>
      <c r="BO363" s="133"/>
      <c r="BP363" s="133"/>
      <c r="BQ363" s="133"/>
      <c r="BR363" s="133"/>
      <c r="BS363" s="133"/>
      <c r="BT363" s="133"/>
      <c r="BU363" s="133"/>
    </row>
    <row r="364" spans="15:73"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  <c r="AH364" s="133"/>
      <c r="AI364" s="133"/>
      <c r="AJ364" s="133"/>
      <c r="AK364" s="133"/>
      <c r="AL364" s="133"/>
      <c r="AM364" s="133"/>
      <c r="AN364" s="133"/>
      <c r="AO364" s="133"/>
      <c r="AP364" s="133"/>
      <c r="AQ364" s="133"/>
      <c r="AR364" s="133"/>
      <c r="AS364" s="133"/>
      <c r="AT364" s="133"/>
      <c r="AU364" s="133"/>
      <c r="AV364" s="133"/>
      <c r="AW364" s="133"/>
      <c r="AX364" s="133"/>
      <c r="AY364" s="133"/>
      <c r="AZ364" s="133"/>
      <c r="BA364" s="133"/>
      <c r="BB364" s="133"/>
      <c r="BC364" s="133"/>
      <c r="BD364" s="133"/>
      <c r="BE364" s="133"/>
      <c r="BF364" s="133"/>
      <c r="BG364" s="133"/>
      <c r="BH364" s="133"/>
      <c r="BI364" s="133"/>
      <c r="BJ364" s="133"/>
      <c r="BK364" s="133"/>
      <c r="BL364" s="133"/>
      <c r="BM364" s="133"/>
      <c r="BN364" s="133"/>
      <c r="BO364" s="133"/>
      <c r="BP364" s="133"/>
      <c r="BQ364" s="133"/>
      <c r="BR364" s="133"/>
      <c r="BS364" s="133"/>
      <c r="BT364" s="133"/>
      <c r="BU364" s="133"/>
    </row>
    <row r="365" spans="15:73"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  <c r="AS365" s="133"/>
      <c r="AT365" s="133"/>
      <c r="AU365" s="133"/>
      <c r="AV365" s="133"/>
      <c r="AW365" s="133"/>
      <c r="AX365" s="133"/>
      <c r="AY365" s="133"/>
      <c r="AZ365" s="133"/>
      <c r="BA365" s="133"/>
      <c r="BB365" s="133"/>
      <c r="BC365" s="133"/>
      <c r="BD365" s="133"/>
      <c r="BE365" s="133"/>
      <c r="BF365" s="133"/>
      <c r="BG365" s="133"/>
      <c r="BH365" s="133"/>
      <c r="BI365" s="133"/>
      <c r="BJ365" s="133"/>
      <c r="BK365" s="133"/>
      <c r="BL365" s="133"/>
      <c r="BM365" s="133"/>
      <c r="BN365" s="133"/>
      <c r="BO365" s="133"/>
      <c r="BP365" s="133"/>
      <c r="BQ365" s="133"/>
      <c r="BR365" s="133"/>
      <c r="BS365" s="133"/>
      <c r="BT365" s="133"/>
      <c r="BU365" s="133"/>
    </row>
    <row r="366" spans="15:73"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  <c r="AR366" s="133"/>
      <c r="AS366" s="133"/>
      <c r="AT366" s="133"/>
      <c r="AU366" s="133"/>
      <c r="AV366" s="133"/>
      <c r="AW366" s="133"/>
      <c r="AX366" s="133"/>
      <c r="AY366" s="133"/>
      <c r="AZ366" s="133"/>
      <c r="BA366" s="133"/>
      <c r="BB366" s="133"/>
      <c r="BC366" s="133"/>
      <c r="BD366" s="133"/>
      <c r="BE366" s="133"/>
      <c r="BF366" s="133"/>
      <c r="BG366" s="133"/>
      <c r="BH366" s="133"/>
      <c r="BI366" s="133"/>
      <c r="BJ366" s="133"/>
      <c r="BK366" s="133"/>
      <c r="BL366" s="133"/>
      <c r="BM366" s="133"/>
      <c r="BN366" s="133"/>
      <c r="BO366" s="133"/>
      <c r="BP366" s="133"/>
      <c r="BQ366" s="133"/>
      <c r="BR366" s="133"/>
      <c r="BS366" s="133"/>
      <c r="BT366" s="133"/>
      <c r="BU366" s="133"/>
    </row>
    <row r="367" spans="15:73"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  <c r="AH367" s="133"/>
      <c r="AI367" s="133"/>
      <c r="AJ367" s="133"/>
      <c r="AK367" s="133"/>
      <c r="AL367" s="133"/>
      <c r="AM367" s="133"/>
      <c r="AN367" s="133"/>
      <c r="AO367" s="133"/>
      <c r="AP367" s="133"/>
      <c r="AQ367" s="133"/>
      <c r="AR367" s="133"/>
      <c r="AS367" s="133"/>
      <c r="AT367" s="133"/>
      <c r="AU367" s="133"/>
      <c r="AV367" s="133"/>
      <c r="AW367" s="133"/>
      <c r="AX367" s="133"/>
      <c r="AY367" s="133"/>
      <c r="AZ367" s="133"/>
      <c r="BA367" s="133"/>
      <c r="BB367" s="133"/>
      <c r="BC367" s="133"/>
      <c r="BD367" s="133"/>
      <c r="BE367" s="133"/>
      <c r="BF367" s="133"/>
      <c r="BG367" s="133"/>
      <c r="BH367" s="133"/>
      <c r="BI367" s="133"/>
      <c r="BJ367" s="133"/>
      <c r="BK367" s="133"/>
      <c r="BL367" s="133"/>
      <c r="BM367" s="133"/>
      <c r="BN367" s="133"/>
      <c r="BO367" s="133"/>
      <c r="BP367" s="133"/>
      <c r="BQ367" s="133"/>
      <c r="BR367" s="133"/>
      <c r="BS367" s="133"/>
      <c r="BT367" s="133"/>
      <c r="BU367" s="133"/>
    </row>
    <row r="368" spans="15:73"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  <c r="AH368" s="133"/>
      <c r="AI368" s="133"/>
      <c r="AJ368" s="133"/>
      <c r="AK368" s="133"/>
      <c r="AL368" s="133"/>
      <c r="AM368" s="133"/>
      <c r="AN368" s="133"/>
      <c r="AO368" s="133"/>
      <c r="AP368" s="133"/>
      <c r="AQ368" s="133"/>
      <c r="AR368" s="133"/>
      <c r="AS368" s="133"/>
      <c r="AT368" s="133"/>
      <c r="AU368" s="133"/>
      <c r="AV368" s="133"/>
      <c r="AW368" s="133"/>
      <c r="AX368" s="133"/>
      <c r="AY368" s="133"/>
      <c r="AZ368" s="133"/>
      <c r="BA368" s="133"/>
      <c r="BB368" s="133"/>
      <c r="BC368" s="133"/>
      <c r="BD368" s="133"/>
      <c r="BE368" s="133"/>
      <c r="BF368" s="133"/>
      <c r="BG368" s="133"/>
      <c r="BH368" s="133"/>
      <c r="BI368" s="133"/>
      <c r="BJ368" s="133"/>
      <c r="BK368" s="133"/>
      <c r="BL368" s="133"/>
      <c r="BM368" s="133"/>
      <c r="BN368" s="133"/>
      <c r="BO368" s="133"/>
      <c r="BP368" s="133"/>
      <c r="BQ368" s="133"/>
      <c r="BR368" s="133"/>
      <c r="BS368" s="133"/>
      <c r="BT368" s="133"/>
      <c r="BU368" s="133"/>
    </row>
    <row r="369" spans="15:73"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  <c r="AH369" s="133"/>
      <c r="AI369" s="133"/>
      <c r="AJ369" s="133"/>
      <c r="AK369" s="133"/>
      <c r="AL369" s="133"/>
      <c r="AM369" s="133"/>
      <c r="AN369" s="133"/>
      <c r="AO369" s="133"/>
      <c r="AP369" s="133"/>
      <c r="AQ369" s="133"/>
      <c r="AR369" s="133"/>
      <c r="AS369" s="133"/>
      <c r="AT369" s="133"/>
      <c r="AU369" s="133"/>
      <c r="AV369" s="133"/>
      <c r="AW369" s="133"/>
      <c r="AX369" s="133"/>
      <c r="AY369" s="133"/>
      <c r="AZ369" s="133"/>
      <c r="BA369" s="133"/>
      <c r="BB369" s="133"/>
      <c r="BC369" s="133"/>
      <c r="BD369" s="133"/>
      <c r="BE369" s="133"/>
      <c r="BF369" s="133"/>
      <c r="BG369" s="133"/>
      <c r="BH369" s="133"/>
      <c r="BI369" s="133"/>
      <c r="BJ369" s="133"/>
      <c r="BK369" s="133"/>
      <c r="BL369" s="133"/>
      <c r="BM369" s="133"/>
      <c r="BN369" s="133"/>
      <c r="BO369" s="133"/>
      <c r="BP369" s="133"/>
      <c r="BQ369" s="133"/>
      <c r="BR369" s="133"/>
      <c r="BS369" s="133"/>
      <c r="BT369" s="133"/>
      <c r="BU369" s="133"/>
    </row>
    <row r="370" spans="15:73"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  <c r="AH370" s="133"/>
      <c r="AI370" s="133"/>
      <c r="AJ370" s="133"/>
      <c r="AK370" s="133"/>
      <c r="AL370" s="133"/>
      <c r="AM370" s="133"/>
      <c r="AN370" s="133"/>
      <c r="AO370" s="133"/>
      <c r="AP370" s="133"/>
      <c r="AQ370" s="133"/>
      <c r="AR370" s="133"/>
      <c r="AS370" s="133"/>
      <c r="AT370" s="133"/>
      <c r="AU370" s="133"/>
      <c r="AV370" s="133"/>
      <c r="AW370" s="133"/>
      <c r="AX370" s="133"/>
      <c r="AY370" s="133"/>
      <c r="AZ370" s="133"/>
      <c r="BA370" s="133"/>
      <c r="BB370" s="133"/>
      <c r="BC370" s="133"/>
      <c r="BD370" s="133"/>
      <c r="BE370" s="133"/>
      <c r="BF370" s="133"/>
      <c r="BG370" s="133"/>
      <c r="BH370" s="133"/>
      <c r="BI370" s="133"/>
      <c r="BJ370" s="133"/>
      <c r="BK370" s="133"/>
      <c r="BL370" s="133"/>
      <c r="BM370" s="133"/>
      <c r="BN370" s="133"/>
      <c r="BO370" s="133"/>
      <c r="BP370" s="133"/>
      <c r="BQ370" s="133"/>
      <c r="BR370" s="133"/>
      <c r="BS370" s="133"/>
      <c r="BT370" s="133"/>
      <c r="BU370" s="133"/>
    </row>
    <row r="371" spans="15:73"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  <c r="AR371" s="133"/>
      <c r="AS371" s="133"/>
      <c r="AT371" s="133"/>
      <c r="AU371" s="133"/>
      <c r="AV371" s="133"/>
      <c r="AW371" s="133"/>
      <c r="AX371" s="133"/>
      <c r="AY371" s="133"/>
      <c r="AZ371" s="133"/>
      <c r="BA371" s="133"/>
      <c r="BB371" s="133"/>
      <c r="BC371" s="133"/>
      <c r="BD371" s="133"/>
      <c r="BE371" s="133"/>
      <c r="BF371" s="133"/>
      <c r="BG371" s="133"/>
      <c r="BH371" s="133"/>
      <c r="BI371" s="133"/>
      <c r="BJ371" s="133"/>
      <c r="BK371" s="133"/>
      <c r="BL371" s="133"/>
      <c r="BM371" s="133"/>
      <c r="BN371" s="133"/>
      <c r="BO371" s="133"/>
      <c r="BP371" s="133"/>
      <c r="BQ371" s="133"/>
      <c r="BR371" s="133"/>
      <c r="BS371" s="133"/>
      <c r="BT371" s="133"/>
      <c r="BU371" s="133"/>
    </row>
    <row r="372" spans="15:73"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  <c r="AH372" s="133"/>
      <c r="AI372" s="133"/>
      <c r="AJ372" s="133"/>
      <c r="AK372" s="133"/>
      <c r="AL372" s="133"/>
      <c r="AM372" s="133"/>
      <c r="AN372" s="133"/>
      <c r="AO372" s="133"/>
      <c r="AP372" s="133"/>
      <c r="AQ372" s="133"/>
      <c r="AR372" s="133"/>
      <c r="AS372" s="133"/>
      <c r="AT372" s="133"/>
      <c r="AU372" s="133"/>
      <c r="AV372" s="133"/>
      <c r="AW372" s="133"/>
      <c r="AX372" s="133"/>
      <c r="AY372" s="133"/>
      <c r="AZ372" s="133"/>
      <c r="BA372" s="133"/>
      <c r="BB372" s="133"/>
      <c r="BC372" s="133"/>
      <c r="BD372" s="133"/>
      <c r="BE372" s="133"/>
      <c r="BF372" s="133"/>
      <c r="BG372" s="133"/>
      <c r="BH372" s="133"/>
      <c r="BI372" s="133"/>
      <c r="BJ372" s="133"/>
      <c r="BK372" s="133"/>
      <c r="BL372" s="133"/>
      <c r="BM372" s="133"/>
      <c r="BN372" s="133"/>
      <c r="BO372" s="133"/>
      <c r="BP372" s="133"/>
      <c r="BQ372" s="133"/>
      <c r="BR372" s="133"/>
      <c r="BS372" s="133"/>
      <c r="BT372" s="133"/>
      <c r="BU372" s="133"/>
    </row>
    <row r="373" spans="15:73"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  <c r="AH373" s="133"/>
      <c r="AI373" s="133"/>
      <c r="AJ373" s="133"/>
      <c r="AK373" s="133"/>
      <c r="AL373" s="133"/>
      <c r="AM373" s="133"/>
      <c r="AN373" s="133"/>
      <c r="AO373" s="133"/>
      <c r="AP373" s="133"/>
      <c r="AQ373" s="133"/>
      <c r="AR373" s="133"/>
      <c r="AS373" s="133"/>
      <c r="AT373" s="133"/>
      <c r="AU373" s="133"/>
      <c r="AV373" s="133"/>
      <c r="AW373" s="133"/>
      <c r="AX373" s="133"/>
      <c r="AY373" s="133"/>
      <c r="AZ373" s="133"/>
      <c r="BA373" s="133"/>
      <c r="BB373" s="133"/>
      <c r="BC373" s="133"/>
      <c r="BD373" s="133"/>
      <c r="BE373" s="133"/>
      <c r="BF373" s="133"/>
      <c r="BG373" s="133"/>
      <c r="BH373" s="133"/>
      <c r="BI373" s="133"/>
      <c r="BJ373" s="133"/>
      <c r="BK373" s="133"/>
      <c r="BL373" s="133"/>
      <c r="BM373" s="133"/>
      <c r="BN373" s="133"/>
      <c r="BO373" s="133"/>
      <c r="BP373" s="133"/>
      <c r="BQ373" s="133"/>
      <c r="BR373" s="133"/>
      <c r="BS373" s="133"/>
      <c r="BT373" s="133"/>
      <c r="BU373" s="133"/>
    </row>
    <row r="374" spans="15:73"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H374" s="133"/>
      <c r="AI374" s="133"/>
      <c r="AJ374" s="133"/>
      <c r="AK374" s="133"/>
      <c r="AL374" s="133"/>
      <c r="AM374" s="133"/>
      <c r="AN374" s="133"/>
      <c r="AO374" s="133"/>
      <c r="AP374" s="133"/>
      <c r="AQ374" s="133"/>
      <c r="AR374" s="133"/>
      <c r="AS374" s="133"/>
      <c r="AT374" s="133"/>
      <c r="AU374" s="133"/>
      <c r="AV374" s="133"/>
      <c r="AW374" s="133"/>
      <c r="AX374" s="133"/>
      <c r="AY374" s="133"/>
      <c r="AZ374" s="133"/>
      <c r="BA374" s="133"/>
      <c r="BB374" s="133"/>
      <c r="BC374" s="133"/>
      <c r="BD374" s="133"/>
      <c r="BE374" s="133"/>
      <c r="BF374" s="133"/>
      <c r="BG374" s="133"/>
      <c r="BH374" s="133"/>
      <c r="BI374" s="133"/>
      <c r="BJ374" s="133"/>
      <c r="BK374" s="133"/>
      <c r="BL374" s="133"/>
      <c r="BM374" s="133"/>
      <c r="BN374" s="133"/>
      <c r="BO374" s="133"/>
      <c r="BP374" s="133"/>
      <c r="BQ374" s="133"/>
      <c r="BR374" s="133"/>
      <c r="BS374" s="133"/>
      <c r="BT374" s="133"/>
      <c r="BU374" s="133"/>
    </row>
    <row r="375" spans="15:73"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H375" s="133"/>
      <c r="AI375" s="133"/>
      <c r="AJ375" s="133"/>
      <c r="AK375" s="133"/>
      <c r="AL375" s="133"/>
      <c r="AM375" s="133"/>
      <c r="AN375" s="133"/>
      <c r="AO375" s="133"/>
      <c r="AP375" s="133"/>
      <c r="AQ375" s="133"/>
      <c r="AR375" s="133"/>
      <c r="AS375" s="133"/>
      <c r="AT375" s="133"/>
      <c r="AU375" s="133"/>
      <c r="AV375" s="133"/>
      <c r="AW375" s="133"/>
      <c r="AX375" s="133"/>
      <c r="AY375" s="133"/>
      <c r="AZ375" s="133"/>
      <c r="BA375" s="133"/>
      <c r="BB375" s="133"/>
      <c r="BC375" s="133"/>
      <c r="BD375" s="133"/>
      <c r="BE375" s="133"/>
      <c r="BF375" s="133"/>
      <c r="BG375" s="133"/>
      <c r="BH375" s="133"/>
      <c r="BI375" s="133"/>
      <c r="BJ375" s="133"/>
      <c r="BK375" s="133"/>
      <c r="BL375" s="133"/>
      <c r="BM375" s="133"/>
      <c r="BN375" s="133"/>
      <c r="BO375" s="133"/>
      <c r="BP375" s="133"/>
      <c r="BQ375" s="133"/>
      <c r="BR375" s="133"/>
      <c r="BS375" s="133"/>
      <c r="BT375" s="133"/>
      <c r="BU375" s="133"/>
    </row>
    <row r="376" spans="15:73"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H376" s="133"/>
      <c r="AI376" s="133"/>
      <c r="AJ376" s="133"/>
      <c r="AK376" s="133"/>
      <c r="AL376" s="133"/>
      <c r="AM376" s="133"/>
      <c r="AN376" s="133"/>
      <c r="AO376" s="133"/>
      <c r="AP376" s="133"/>
      <c r="AQ376" s="133"/>
      <c r="AR376" s="133"/>
      <c r="AS376" s="133"/>
      <c r="AT376" s="133"/>
      <c r="AU376" s="133"/>
      <c r="AV376" s="133"/>
      <c r="AW376" s="133"/>
      <c r="AX376" s="133"/>
      <c r="AY376" s="133"/>
      <c r="AZ376" s="133"/>
      <c r="BA376" s="133"/>
      <c r="BB376" s="133"/>
      <c r="BC376" s="133"/>
      <c r="BD376" s="133"/>
      <c r="BE376" s="133"/>
      <c r="BF376" s="133"/>
      <c r="BG376" s="133"/>
      <c r="BH376" s="133"/>
      <c r="BI376" s="133"/>
      <c r="BJ376" s="133"/>
      <c r="BK376" s="133"/>
      <c r="BL376" s="133"/>
      <c r="BM376" s="133"/>
      <c r="BN376" s="133"/>
      <c r="BO376" s="133"/>
      <c r="BP376" s="133"/>
      <c r="BQ376" s="133"/>
      <c r="BR376" s="133"/>
      <c r="BS376" s="133"/>
      <c r="BT376" s="133"/>
      <c r="BU376" s="133"/>
    </row>
    <row r="377" spans="15:73"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H377" s="133"/>
      <c r="AI377" s="133"/>
      <c r="AJ377" s="133"/>
      <c r="AK377" s="133"/>
      <c r="AL377" s="133"/>
      <c r="AM377" s="133"/>
      <c r="AN377" s="133"/>
      <c r="AO377" s="133"/>
      <c r="AP377" s="133"/>
      <c r="AQ377" s="133"/>
      <c r="AR377" s="133"/>
      <c r="AS377" s="133"/>
      <c r="AT377" s="133"/>
      <c r="AU377" s="133"/>
      <c r="AV377" s="133"/>
      <c r="AW377" s="133"/>
      <c r="AX377" s="133"/>
      <c r="AY377" s="133"/>
      <c r="AZ377" s="133"/>
      <c r="BA377" s="133"/>
      <c r="BB377" s="133"/>
      <c r="BC377" s="133"/>
      <c r="BD377" s="133"/>
      <c r="BE377" s="133"/>
      <c r="BF377" s="133"/>
      <c r="BG377" s="133"/>
      <c r="BH377" s="133"/>
      <c r="BI377" s="133"/>
      <c r="BJ377" s="133"/>
      <c r="BK377" s="133"/>
      <c r="BL377" s="133"/>
      <c r="BM377" s="133"/>
      <c r="BN377" s="133"/>
      <c r="BO377" s="133"/>
      <c r="BP377" s="133"/>
      <c r="BQ377" s="133"/>
      <c r="BR377" s="133"/>
      <c r="BS377" s="133"/>
      <c r="BT377" s="133"/>
      <c r="BU377" s="133"/>
    </row>
    <row r="378" spans="15:73"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H378" s="133"/>
      <c r="AI378" s="133"/>
      <c r="AJ378" s="133"/>
      <c r="AK378" s="133"/>
      <c r="AL378" s="133"/>
      <c r="AM378" s="133"/>
      <c r="AN378" s="133"/>
      <c r="AO378" s="133"/>
      <c r="AP378" s="133"/>
      <c r="AQ378" s="133"/>
      <c r="AR378" s="133"/>
      <c r="AS378" s="133"/>
      <c r="AT378" s="133"/>
      <c r="AU378" s="133"/>
      <c r="AV378" s="133"/>
      <c r="AW378" s="133"/>
      <c r="AX378" s="133"/>
      <c r="AY378" s="133"/>
      <c r="AZ378" s="133"/>
      <c r="BA378" s="133"/>
      <c r="BB378" s="133"/>
      <c r="BC378" s="133"/>
      <c r="BD378" s="133"/>
      <c r="BE378" s="133"/>
      <c r="BF378" s="133"/>
      <c r="BG378" s="133"/>
      <c r="BH378" s="133"/>
      <c r="BI378" s="133"/>
      <c r="BJ378" s="133"/>
      <c r="BK378" s="133"/>
      <c r="BL378" s="133"/>
      <c r="BM378" s="133"/>
      <c r="BN378" s="133"/>
      <c r="BO378" s="133"/>
      <c r="BP378" s="133"/>
      <c r="BQ378" s="133"/>
      <c r="BR378" s="133"/>
      <c r="BS378" s="133"/>
      <c r="BT378" s="133"/>
      <c r="BU378" s="133"/>
    </row>
    <row r="379" spans="15:73"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H379" s="133"/>
      <c r="AI379" s="133"/>
      <c r="AJ379" s="133"/>
      <c r="AK379" s="133"/>
      <c r="AL379" s="133"/>
      <c r="AM379" s="133"/>
      <c r="AN379" s="133"/>
      <c r="AO379" s="133"/>
      <c r="AP379" s="133"/>
      <c r="AQ379" s="133"/>
      <c r="AR379" s="133"/>
      <c r="AS379" s="133"/>
      <c r="AT379" s="133"/>
      <c r="AU379" s="133"/>
      <c r="AV379" s="133"/>
      <c r="AW379" s="133"/>
      <c r="AX379" s="133"/>
      <c r="AY379" s="133"/>
      <c r="AZ379" s="133"/>
      <c r="BA379" s="133"/>
      <c r="BB379" s="133"/>
      <c r="BC379" s="133"/>
      <c r="BD379" s="133"/>
      <c r="BE379" s="133"/>
      <c r="BF379" s="133"/>
      <c r="BG379" s="133"/>
      <c r="BH379" s="133"/>
      <c r="BI379" s="133"/>
      <c r="BJ379" s="133"/>
      <c r="BK379" s="133"/>
      <c r="BL379" s="133"/>
      <c r="BM379" s="133"/>
      <c r="BN379" s="133"/>
      <c r="BO379" s="133"/>
      <c r="BP379" s="133"/>
      <c r="BQ379" s="133"/>
      <c r="BR379" s="133"/>
      <c r="BS379" s="133"/>
      <c r="BT379" s="133"/>
      <c r="BU379" s="133"/>
    </row>
    <row r="380" spans="15:73"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H380" s="133"/>
      <c r="AI380" s="133"/>
      <c r="AJ380" s="133"/>
      <c r="AK380" s="133"/>
      <c r="AL380" s="133"/>
      <c r="AM380" s="133"/>
      <c r="AN380" s="133"/>
      <c r="AO380" s="133"/>
      <c r="AP380" s="133"/>
      <c r="AQ380" s="133"/>
      <c r="AR380" s="133"/>
      <c r="AS380" s="133"/>
      <c r="AT380" s="133"/>
      <c r="AU380" s="133"/>
      <c r="AV380" s="133"/>
      <c r="AW380" s="133"/>
      <c r="AX380" s="133"/>
      <c r="AY380" s="133"/>
      <c r="AZ380" s="133"/>
      <c r="BA380" s="133"/>
      <c r="BB380" s="133"/>
      <c r="BC380" s="133"/>
      <c r="BD380" s="133"/>
      <c r="BE380" s="133"/>
      <c r="BF380" s="133"/>
      <c r="BG380" s="133"/>
      <c r="BH380" s="133"/>
      <c r="BI380" s="133"/>
      <c r="BJ380" s="133"/>
      <c r="BK380" s="133"/>
      <c r="BL380" s="133"/>
      <c r="BM380" s="133"/>
      <c r="BN380" s="133"/>
      <c r="BO380" s="133"/>
      <c r="BP380" s="133"/>
      <c r="BQ380" s="133"/>
      <c r="BR380" s="133"/>
      <c r="BS380" s="133"/>
      <c r="BT380" s="133"/>
      <c r="BU380" s="133"/>
    </row>
    <row r="381" spans="15:73"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H381" s="133"/>
      <c r="AI381" s="133"/>
      <c r="AJ381" s="133"/>
      <c r="AK381" s="133"/>
      <c r="AL381" s="133"/>
      <c r="AM381" s="133"/>
      <c r="AN381" s="133"/>
      <c r="AO381" s="133"/>
      <c r="AP381" s="133"/>
      <c r="AQ381" s="133"/>
      <c r="AR381" s="133"/>
      <c r="AS381" s="133"/>
      <c r="AT381" s="133"/>
      <c r="AU381" s="133"/>
      <c r="AV381" s="133"/>
      <c r="AW381" s="133"/>
      <c r="AX381" s="133"/>
      <c r="AY381" s="133"/>
      <c r="AZ381" s="133"/>
      <c r="BA381" s="133"/>
      <c r="BB381" s="133"/>
      <c r="BC381" s="133"/>
      <c r="BD381" s="133"/>
      <c r="BE381" s="133"/>
      <c r="BF381" s="133"/>
      <c r="BG381" s="133"/>
      <c r="BH381" s="133"/>
      <c r="BI381" s="133"/>
      <c r="BJ381" s="133"/>
      <c r="BK381" s="133"/>
      <c r="BL381" s="133"/>
      <c r="BM381" s="133"/>
      <c r="BN381" s="133"/>
      <c r="BO381" s="133"/>
      <c r="BP381" s="133"/>
      <c r="BQ381" s="133"/>
      <c r="BR381" s="133"/>
      <c r="BS381" s="133"/>
      <c r="BT381" s="133"/>
      <c r="BU381" s="133"/>
    </row>
    <row r="382" spans="15:73"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H382" s="133"/>
      <c r="AI382" s="133"/>
      <c r="AJ382" s="133"/>
      <c r="AK382" s="133"/>
      <c r="AL382" s="133"/>
      <c r="AM382" s="133"/>
      <c r="AN382" s="133"/>
      <c r="AO382" s="133"/>
      <c r="AP382" s="133"/>
      <c r="AQ382" s="133"/>
      <c r="AR382" s="133"/>
      <c r="AS382" s="133"/>
      <c r="AT382" s="133"/>
      <c r="AU382" s="133"/>
      <c r="AV382" s="133"/>
      <c r="AW382" s="133"/>
      <c r="AX382" s="133"/>
      <c r="AY382" s="133"/>
      <c r="AZ382" s="133"/>
      <c r="BA382" s="133"/>
      <c r="BB382" s="133"/>
      <c r="BC382" s="133"/>
      <c r="BD382" s="133"/>
      <c r="BE382" s="133"/>
      <c r="BF382" s="133"/>
      <c r="BG382" s="133"/>
      <c r="BH382" s="133"/>
      <c r="BI382" s="133"/>
      <c r="BJ382" s="133"/>
      <c r="BK382" s="133"/>
      <c r="BL382" s="133"/>
      <c r="BM382" s="133"/>
      <c r="BN382" s="133"/>
      <c r="BO382" s="133"/>
      <c r="BP382" s="133"/>
      <c r="BQ382" s="133"/>
      <c r="BR382" s="133"/>
      <c r="BS382" s="133"/>
      <c r="BT382" s="133"/>
      <c r="BU382" s="133"/>
    </row>
    <row r="383" spans="15:73"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H383" s="133"/>
      <c r="AI383" s="133"/>
      <c r="AJ383" s="133"/>
      <c r="AK383" s="133"/>
      <c r="AL383" s="133"/>
      <c r="AM383" s="133"/>
      <c r="AN383" s="133"/>
      <c r="AO383" s="133"/>
      <c r="AP383" s="133"/>
      <c r="AQ383" s="133"/>
      <c r="AR383" s="133"/>
      <c r="AS383" s="133"/>
      <c r="AT383" s="133"/>
      <c r="AU383" s="133"/>
      <c r="AV383" s="133"/>
      <c r="AW383" s="133"/>
      <c r="AX383" s="133"/>
      <c r="AY383" s="133"/>
      <c r="AZ383" s="133"/>
      <c r="BA383" s="133"/>
      <c r="BB383" s="133"/>
      <c r="BC383" s="133"/>
      <c r="BD383" s="133"/>
      <c r="BE383" s="133"/>
      <c r="BF383" s="133"/>
      <c r="BG383" s="133"/>
      <c r="BH383" s="133"/>
      <c r="BI383" s="133"/>
      <c r="BJ383" s="133"/>
      <c r="BK383" s="133"/>
      <c r="BL383" s="133"/>
      <c r="BM383" s="133"/>
      <c r="BN383" s="133"/>
      <c r="BO383" s="133"/>
      <c r="BP383" s="133"/>
      <c r="BQ383" s="133"/>
      <c r="BR383" s="133"/>
      <c r="BS383" s="133"/>
      <c r="BT383" s="133"/>
      <c r="BU383" s="133"/>
    </row>
    <row r="384" spans="15:73"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H384" s="133"/>
      <c r="AI384" s="133"/>
      <c r="AJ384" s="133"/>
      <c r="AK384" s="133"/>
      <c r="AL384" s="133"/>
      <c r="AM384" s="133"/>
      <c r="AN384" s="133"/>
      <c r="AO384" s="133"/>
      <c r="AP384" s="133"/>
      <c r="AQ384" s="133"/>
      <c r="AR384" s="133"/>
      <c r="AS384" s="133"/>
      <c r="AT384" s="133"/>
      <c r="AU384" s="133"/>
      <c r="AV384" s="133"/>
      <c r="AW384" s="133"/>
      <c r="AX384" s="133"/>
      <c r="AY384" s="133"/>
      <c r="AZ384" s="133"/>
      <c r="BA384" s="133"/>
      <c r="BB384" s="133"/>
      <c r="BC384" s="133"/>
      <c r="BD384" s="133"/>
      <c r="BE384" s="133"/>
      <c r="BF384" s="133"/>
      <c r="BG384" s="133"/>
      <c r="BH384" s="133"/>
      <c r="BI384" s="133"/>
      <c r="BJ384" s="133"/>
      <c r="BK384" s="133"/>
      <c r="BL384" s="133"/>
      <c r="BM384" s="133"/>
      <c r="BN384" s="133"/>
      <c r="BO384" s="133"/>
      <c r="BP384" s="133"/>
      <c r="BQ384" s="133"/>
      <c r="BR384" s="133"/>
      <c r="BS384" s="133"/>
      <c r="BT384" s="133"/>
      <c r="BU384" s="133"/>
    </row>
    <row r="385" spans="15:73"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H385" s="133"/>
      <c r="AI385" s="133"/>
      <c r="AJ385" s="133"/>
      <c r="AK385" s="133"/>
      <c r="AL385" s="133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  <c r="BD385" s="133"/>
      <c r="BE385" s="133"/>
      <c r="BF385" s="133"/>
      <c r="BG385" s="133"/>
      <c r="BH385" s="133"/>
      <c r="BI385" s="133"/>
      <c r="BJ385" s="133"/>
      <c r="BK385" s="133"/>
      <c r="BL385" s="133"/>
      <c r="BM385" s="133"/>
      <c r="BN385" s="133"/>
      <c r="BO385" s="133"/>
      <c r="BP385" s="133"/>
      <c r="BQ385" s="133"/>
      <c r="BR385" s="133"/>
      <c r="BS385" s="133"/>
      <c r="BT385" s="133"/>
      <c r="BU385" s="133"/>
    </row>
    <row r="386" spans="15:73"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H386" s="133"/>
      <c r="AI386" s="133"/>
      <c r="AJ386" s="133"/>
      <c r="AK386" s="13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  <c r="BD386" s="133"/>
      <c r="BE386" s="133"/>
      <c r="BF386" s="133"/>
      <c r="BG386" s="133"/>
      <c r="BH386" s="133"/>
      <c r="BI386" s="133"/>
      <c r="BJ386" s="133"/>
      <c r="BK386" s="133"/>
      <c r="BL386" s="133"/>
      <c r="BM386" s="133"/>
      <c r="BN386" s="133"/>
      <c r="BO386" s="133"/>
      <c r="BP386" s="133"/>
      <c r="BQ386" s="133"/>
      <c r="BR386" s="133"/>
      <c r="BS386" s="133"/>
      <c r="BT386" s="133"/>
      <c r="BU386" s="133"/>
    </row>
    <row r="387" spans="15:73"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  <c r="AV387" s="133"/>
      <c r="AW387" s="133"/>
      <c r="AX387" s="133"/>
      <c r="AY387" s="133"/>
      <c r="AZ387" s="133"/>
      <c r="BA387" s="133"/>
      <c r="BB387" s="133"/>
      <c r="BC387" s="133"/>
      <c r="BD387" s="133"/>
      <c r="BE387" s="133"/>
      <c r="BF387" s="133"/>
      <c r="BG387" s="133"/>
      <c r="BH387" s="133"/>
      <c r="BI387" s="133"/>
      <c r="BJ387" s="133"/>
      <c r="BK387" s="133"/>
      <c r="BL387" s="133"/>
      <c r="BM387" s="133"/>
      <c r="BN387" s="133"/>
      <c r="BO387" s="133"/>
      <c r="BP387" s="133"/>
      <c r="BQ387" s="133"/>
      <c r="BR387" s="133"/>
      <c r="BS387" s="133"/>
      <c r="BT387" s="133"/>
      <c r="BU387" s="133"/>
    </row>
    <row r="388" spans="15:73"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H388" s="133"/>
      <c r="AI388" s="133"/>
      <c r="AJ388" s="133"/>
      <c r="AK388" s="13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  <c r="AV388" s="133"/>
      <c r="AW388" s="133"/>
      <c r="AX388" s="133"/>
      <c r="AY388" s="133"/>
      <c r="AZ388" s="133"/>
      <c r="BA388" s="133"/>
      <c r="BB388" s="133"/>
      <c r="BC388" s="133"/>
      <c r="BD388" s="133"/>
      <c r="BE388" s="133"/>
      <c r="BF388" s="133"/>
      <c r="BG388" s="133"/>
      <c r="BH388" s="133"/>
      <c r="BI388" s="133"/>
      <c r="BJ388" s="133"/>
      <c r="BK388" s="133"/>
      <c r="BL388" s="133"/>
      <c r="BM388" s="133"/>
      <c r="BN388" s="133"/>
      <c r="BO388" s="133"/>
      <c r="BP388" s="133"/>
      <c r="BQ388" s="133"/>
      <c r="BR388" s="133"/>
      <c r="BS388" s="133"/>
      <c r="BT388" s="133"/>
      <c r="BU388" s="133"/>
    </row>
    <row r="389" spans="15:73"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H389" s="133"/>
      <c r="AI389" s="133"/>
      <c r="AJ389" s="133"/>
      <c r="AK389" s="13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  <c r="AV389" s="133"/>
      <c r="AW389" s="133"/>
      <c r="AX389" s="133"/>
      <c r="AY389" s="133"/>
      <c r="AZ389" s="133"/>
      <c r="BA389" s="133"/>
      <c r="BB389" s="133"/>
      <c r="BC389" s="133"/>
      <c r="BD389" s="133"/>
      <c r="BE389" s="133"/>
      <c r="BF389" s="133"/>
      <c r="BG389" s="133"/>
      <c r="BH389" s="133"/>
      <c r="BI389" s="133"/>
      <c r="BJ389" s="133"/>
      <c r="BK389" s="133"/>
      <c r="BL389" s="133"/>
      <c r="BM389" s="133"/>
      <c r="BN389" s="133"/>
      <c r="BO389" s="133"/>
      <c r="BP389" s="133"/>
      <c r="BQ389" s="133"/>
      <c r="BR389" s="133"/>
      <c r="BS389" s="133"/>
      <c r="BT389" s="133"/>
      <c r="BU389" s="133"/>
    </row>
    <row r="390" spans="15:73"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  <c r="AV390" s="133"/>
      <c r="AW390" s="133"/>
      <c r="AX390" s="133"/>
      <c r="AY390" s="133"/>
      <c r="AZ390" s="133"/>
      <c r="BA390" s="133"/>
      <c r="BB390" s="133"/>
      <c r="BC390" s="133"/>
      <c r="BD390" s="133"/>
      <c r="BE390" s="133"/>
      <c r="BF390" s="133"/>
      <c r="BG390" s="133"/>
      <c r="BH390" s="133"/>
      <c r="BI390" s="133"/>
      <c r="BJ390" s="133"/>
      <c r="BK390" s="133"/>
      <c r="BL390" s="133"/>
      <c r="BM390" s="133"/>
      <c r="BN390" s="133"/>
      <c r="BO390" s="133"/>
      <c r="BP390" s="133"/>
      <c r="BQ390" s="133"/>
      <c r="BR390" s="133"/>
      <c r="BS390" s="133"/>
      <c r="BT390" s="133"/>
      <c r="BU390" s="133"/>
    </row>
    <row r="391" spans="15:73"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  <c r="AV391" s="133"/>
      <c r="AW391" s="133"/>
      <c r="AX391" s="133"/>
      <c r="AY391" s="133"/>
      <c r="AZ391" s="133"/>
      <c r="BA391" s="133"/>
      <c r="BB391" s="133"/>
      <c r="BC391" s="133"/>
      <c r="BD391" s="133"/>
      <c r="BE391" s="133"/>
      <c r="BF391" s="133"/>
      <c r="BG391" s="133"/>
      <c r="BH391" s="133"/>
      <c r="BI391" s="133"/>
      <c r="BJ391" s="133"/>
      <c r="BK391" s="133"/>
      <c r="BL391" s="133"/>
      <c r="BM391" s="133"/>
      <c r="BN391" s="133"/>
      <c r="BO391" s="133"/>
      <c r="BP391" s="133"/>
      <c r="BQ391" s="133"/>
      <c r="BR391" s="133"/>
      <c r="BS391" s="133"/>
      <c r="BT391" s="133"/>
      <c r="BU391" s="133"/>
    </row>
    <row r="392" spans="15:73"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H392" s="133"/>
      <c r="AI392" s="133"/>
      <c r="AJ392" s="133"/>
      <c r="AK392" s="133"/>
      <c r="AL392" s="133"/>
      <c r="AM392" s="133"/>
      <c r="AN392" s="133"/>
      <c r="AO392" s="133"/>
      <c r="AP392" s="133"/>
      <c r="AQ392" s="133"/>
      <c r="AR392" s="133"/>
      <c r="AS392" s="133"/>
      <c r="AT392" s="133"/>
      <c r="AU392" s="133"/>
      <c r="AV392" s="133"/>
      <c r="AW392" s="133"/>
      <c r="AX392" s="133"/>
      <c r="AY392" s="133"/>
      <c r="AZ392" s="133"/>
      <c r="BA392" s="133"/>
      <c r="BB392" s="133"/>
      <c r="BC392" s="133"/>
      <c r="BD392" s="133"/>
      <c r="BE392" s="133"/>
      <c r="BF392" s="133"/>
      <c r="BG392" s="133"/>
      <c r="BH392" s="133"/>
      <c r="BI392" s="133"/>
      <c r="BJ392" s="133"/>
      <c r="BK392" s="133"/>
      <c r="BL392" s="133"/>
      <c r="BM392" s="133"/>
      <c r="BN392" s="133"/>
      <c r="BO392" s="133"/>
      <c r="BP392" s="133"/>
      <c r="BQ392" s="133"/>
      <c r="BR392" s="133"/>
      <c r="BS392" s="133"/>
      <c r="BT392" s="133"/>
      <c r="BU392" s="133"/>
    </row>
    <row r="393" spans="15:73"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H393" s="133"/>
      <c r="AI393" s="133"/>
      <c r="AJ393" s="133"/>
      <c r="AK393" s="13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  <c r="AV393" s="133"/>
      <c r="AW393" s="133"/>
      <c r="AX393" s="133"/>
      <c r="AY393" s="133"/>
      <c r="AZ393" s="133"/>
      <c r="BA393" s="133"/>
      <c r="BB393" s="133"/>
      <c r="BC393" s="133"/>
      <c r="BD393" s="133"/>
      <c r="BE393" s="133"/>
      <c r="BF393" s="133"/>
      <c r="BG393" s="133"/>
      <c r="BH393" s="133"/>
      <c r="BI393" s="133"/>
      <c r="BJ393" s="133"/>
      <c r="BK393" s="133"/>
      <c r="BL393" s="133"/>
      <c r="BM393" s="133"/>
      <c r="BN393" s="133"/>
      <c r="BO393" s="133"/>
      <c r="BP393" s="133"/>
      <c r="BQ393" s="133"/>
      <c r="BR393" s="133"/>
      <c r="BS393" s="133"/>
      <c r="BT393" s="133"/>
      <c r="BU393" s="133"/>
    </row>
    <row r="394" spans="15:73"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H394" s="133"/>
      <c r="AI394" s="133"/>
      <c r="AJ394" s="133"/>
      <c r="AK394" s="13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  <c r="AV394" s="133"/>
      <c r="AW394" s="133"/>
      <c r="AX394" s="133"/>
      <c r="AY394" s="133"/>
      <c r="AZ394" s="133"/>
      <c r="BA394" s="133"/>
      <c r="BB394" s="133"/>
      <c r="BC394" s="133"/>
      <c r="BD394" s="133"/>
      <c r="BE394" s="133"/>
      <c r="BF394" s="133"/>
      <c r="BG394" s="133"/>
      <c r="BH394" s="133"/>
      <c r="BI394" s="133"/>
      <c r="BJ394" s="133"/>
      <c r="BK394" s="133"/>
      <c r="BL394" s="133"/>
      <c r="BM394" s="133"/>
      <c r="BN394" s="133"/>
      <c r="BO394" s="133"/>
      <c r="BP394" s="133"/>
      <c r="BQ394" s="133"/>
      <c r="BR394" s="133"/>
      <c r="BS394" s="133"/>
      <c r="BT394" s="133"/>
      <c r="BU394" s="133"/>
    </row>
    <row r="395" spans="15:73"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H395" s="133"/>
      <c r="AI395" s="133"/>
      <c r="AJ395" s="133"/>
      <c r="AK395" s="133"/>
      <c r="AL395" s="133"/>
      <c r="AM395" s="133"/>
      <c r="AN395" s="133"/>
      <c r="AO395" s="133"/>
      <c r="AP395" s="133"/>
      <c r="AQ395" s="133"/>
      <c r="AR395" s="133"/>
      <c r="AS395" s="133"/>
      <c r="AT395" s="133"/>
      <c r="AU395" s="133"/>
      <c r="AV395" s="133"/>
      <c r="AW395" s="133"/>
      <c r="AX395" s="133"/>
      <c r="AY395" s="133"/>
      <c r="AZ395" s="133"/>
      <c r="BA395" s="133"/>
      <c r="BB395" s="133"/>
      <c r="BC395" s="133"/>
      <c r="BD395" s="133"/>
      <c r="BE395" s="133"/>
      <c r="BF395" s="133"/>
      <c r="BG395" s="133"/>
      <c r="BH395" s="133"/>
      <c r="BI395" s="133"/>
      <c r="BJ395" s="133"/>
      <c r="BK395" s="133"/>
      <c r="BL395" s="133"/>
      <c r="BM395" s="133"/>
      <c r="BN395" s="133"/>
      <c r="BO395" s="133"/>
      <c r="BP395" s="133"/>
      <c r="BQ395" s="133"/>
      <c r="BR395" s="133"/>
      <c r="BS395" s="133"/>
      <c r="BT395" s="133"/>
      <c r="BU395" s="133"/>
    </row>
    <row r="396" spans="15:73"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H396" s="133"/>
      <c r="AI396" s="133"/>
      <c r="AJ396" s="133"/>
      <c r="AK396" s="133"/>
      <c r="AL396" s="133"/>
      <c r="AM396" s="133"/>
      <c r="AN396" s="133"/>
      <c r="AO396" s="133"/>
      <c r="AP396" s="133"/>
      <c r="AQ396" s="133"/>
      <c r="AR396" s="133"/>
      <c r="AS396" s="133"/>
      <c r="AT396" s="133"/>
      <c r="AU396" s="133"/>
      <c r="AV396" s="133"/>
      <c r="AW396" s="133"/>
      <c r="AX396" s="133"/>
      <c r="AY396" s="133"/>
      <c r="AZ396" s="133"/>
      <c r="BA396" s="133"/>
      <c r="BB396" s="133"/>
      <c r="BC396" s="133"/>
      <c r="BD396" s="133"/>
      <c r="BE396" s="133"/>
      <c r="BF396" s="133"/>
      <c r="BG396" s="133"/>
      <c r="BH396" s="133"/>
      <c r="BI396" s="133"/>
      <c r="BJ396" s="133"/>
      <c r="BK396" s="133"/>
      <c r="BL396" s="133"/>
      <c r="BM396" s="133"/>
      <c r="BN396" s="133"/>
      <c r="BO396" s="133"/>
      <c r="BP396" s="133"/>
      <c r="BQ396" s="133"/>
      <c r="BR396" s="133"/>
      <c r="BS396" s="133"/>
      <c r="BT396" s="133"/>
      <c r="BU396" s="133"/>
    </row>
    <row r="397" spans="15:73"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H397" s="133"/>
      <c r="AI397" s="133"/>
      <c r="AJ397" s="133"/>
      <c r="AK397" s="133"/>
      <c r="AL397" s="133"/>
      <c r="AM397" s="133"/>
      <c r="AN397" s="133"/>
      <c r="AO397" s="133"/>
      <c r="AP397" s="133"/>
      <c r="AQ397" s="133"/>
      <c r="AR397" s="133"/>
      <c r="AS397" s="133"/>
      <c r="AT397" s="133"/>
      <c r="AU397" s="133"/>
      <c r="AV397" s="133"/>
      <c r="AW397" s="133"/>
      <c r="AX397" s="133"/>
      <c r="AY397" s="133"/>
      <c r="AZ397" s="133"/>
      <c r="BA397" s="133"/>
      <c r="BB397" s="133"/>
      <c r="BC397" s="133"/>
      <c r="BD397" s="133"/>
      <c r="BE397" s="133"/>
      <c r="BF397" s="133"/>
      <c r="BG397" s="133"/>
      <c r="BH397" s="133"/>
      <c r="BI397" s="133"/>
      <c r="BJ397" s="133"/>
      <c r="BK397" s="133"/>
      <c r="BL397" s="133"/>
      <c r="BM397" s="133"/>
      <c r="BN397" s="133"/>
      <c r="BO397" s="133"/>
      <c r="BP397" s="133"/>
      <c r="BQ397" s="133"/>
      <c r="BR397" s="133"/>
      <c r="BS397" s="133"/>
      <c r="BT397" s="133"/>
      <c r="BU397" s="133"/>
    </row>
    <row r="398" spans="15:73"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H398" s="133"/>
      <c r="AI398" s="133"/>
      <c r="AJ398" s="133"/>
      <c r="AK398" s="133"/>
      <c r="AL398" s="133"/>
      <c r="AM398" s="133"/>
      <c r="AN398" s="133"/>
      <c r="AO398" s="133"/>
      <c r="AP398" s="133"/>
      <c r="AQ398" s="133"/>
      <c r="AR398" s="133"/>
      <c r="AS398" s="133"/>
      <c r="AT398" s="133"/>
      <c r="AU398" s="133"/>
      <c r="AV398" s="133"/>
      <c r="AW398" s="133"/>
      <c r="AX398" s="133"/>
      <c r="AY398" s="133"/>
      <c r="AZ398" s="133"/>
      <c r="BA398" s="133"/>
      <c r="BB398" s="133"/>
      <c r="BC398" s="133"/>
      <c r="BD398" s="133"/>
      <c r="BE398" s="133"/>
      <c r="BF398" s="133"/>
      <c r="BG398" s="133"/>
      <c r="BH398" s="133"/>
      <c r="BI398" s="133"/>
      <c r="BJ398" s="133"/>
      <c r="BK398" s="133"/>
      <c r="BL398" s="133"/>
      <c r="BM398" s="133"/>
      <c r="BN398" s="133"/>
      <c r="BO398" s="133"/>
      <c r="BP398" s="133"/>
      <c r="BQ398" s="133"/>
      <c r="BR398" s="133"/>
      <c r="BS398" s="133"/>
      <c r="BT398" s="133"/>
      <c r="BU398" s="133"/>
    </row>
    <row r="399" spans="15:73"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H399" s="133"/>
      <c r="AI399" s="133"/>
      <c r="AJ399" s="133"/>
      <c r="AK399" s="133"/>
      <c r="AL399" s="133"/>
      <c r="AM399" s="133"/>
      <c r="AN399" s="133"/>
      <c r="AO399" s="133"/>
      <c r="AP399" s="133"/>
      <c r="AQ399" s="133"/>
      <c r="AR399" s="133"/>
      <c r="AS399" s="133"/>
      <c r="AT399" s="133"/>
      <c r="AU399" s="133"/>
      <c r="AV399" s="133"/>
      <c r="AW399" s="133"/>
      <c r="AX399" s="133"/>
      <c r="AY399" s="133"/>
      <c r="AZ399" s="133"/>
      <c r="BA399" s="133"/>
      <c r="BB399" s="133"/>
      <c r="BC399" s="133"/>
      <c r="BD399" s="133"/>
      <c r="BE399" s="133"/>
      <c r="BF399" s="133"/>
      <c r="BG399" s="133"/>
      <c r="BH399" s="133"/>
      <c r="BI399" s="133"/>
      <c r="BJ399" s="133"/>
      <c r="BK399" s="133"/>
      <c r="BL399" s="133"/>
      <c r="BM399" s="133"/>
      <c r="BN399" s="133"/>
      <c r="BO399" s="133"/>
      <c r="BP399" s="133"/>
      <c r="BQ399" s="133"/>
      <c r="BR399" s="133"/>
      <c r="BS399" s="133"/>
      <c r="BT399" s="133"/>
      <c r="BU399" s="133"/>
    </row>
    <row r="400" spans="15:73"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H400" s="133"/>
      <c r="AI400" s="133"/>
      <c r="AJ400" s="133"/>
      <c r="AK400" s="133"/>
      <c r="AL400" s="133"/>
      <c r="AM400" s="133"/>
      <c r="AN400" s="133"/>
      <c r="AO400" s="133"/>
      <c r="AP400" s="133"/>
      <c r="AQ400" s="133"/>
      <c r="AR400" s="133"/>
      <c r="AS400" s="133"/>
      <c r="AT400" s="133"/>
      <c r="AU400" s="133"/>
      <c r="AV400" s="133"/>
      <c r="AW400" s="133"/>
      <c r="AX400" s="133"/>
      <c r="AY400" s="133"/>
      <c r="AZ400" s="133"/>
      <c r="BA400" s="133"/>
      <c r="BB400" s="133"/>
      <c r="BC400" s="133"/>
      <c r="BD400" s="133"/>
      <c r="BE400" s="133"/>
      <c r="BF400" s="133"/>
      <c r="BG400" s="133"/>
      <c r="BH400" s="133"/>
      <c r="BI400" s="133"/>
      <c r="BJ400" s="133"/>
      <c r="BK400" s="133"/>
      <c r="BL400" s="133"/>
      <c r="BM400" s="133"/>
      <c r="BN400" s="133"/>
      <c r="BO400" s="133"/>
      <c r="BP400" s="133"/>
      <c r="BQ400" s="133"/>
      <c r="BR400" s="133"/>
      <c r="BS400" s="133"/>
      <c r="BT400" s="133"/>
      <c r="BU400" s="133"/>
    </row>
    <row r="401" spans="15:73"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H401" s="133"/>
      <c r="AI401" s="133"/>
      <c r="AJ401" s="133"/>
      <c r="AK401" s="133"/>
      <c r="AL401" s="133"/>
      <c r="AM401" s="133"/>
      <c r="AN401" s="133"/>
      <c r="AO401" s="133"/>
      <c r="AP401" s="133"/>
      <c r="AQ401" s="133"/>
      <c r="AR401" s="133"/>
      <c r="AS401" s="133"/>
      <c r="AT401" s="133"/>
      <c r="AU401" s="133"/>
      <c r="AV401" s="133"/>
      <c r="AW401" s="133"/>
      <c r="AX401" s="133"/>
      <c r="AY401" s="133"/>
      <c r="AZ401" s="133"/>
      <c r="BA401" s="133"/>
      <c r="BB401" s="133"/>
      <c r="BC401" s="133"/>
      <c r="BD401" s="133"/>
      <c r="BE401" s="133"/>
      <c r="BF401" s="133"/>
      <c r="BG401" s="133"/>
      <c r="BH401" s="133"/>
      <c r="BI401" s="133"/>
      <c r="BJ401" s="133"/>
      <c r="BK401" s="133"/>
      <c r="BL401" s="133"/>
      <c r="BM401" s="133"/>
      <c r="BN401" s="133"/>
      <c r="BO401" s="133"/>
      <c r="BP401" s="133"/>
      <c r="BQ401" s="133"/>
      <c r="BR401" s="133"/>
      <c r="BS401" s="133"/>
      <c r="BT401" s="133"/>
      <c r="BU401" s="133"/>
    </row>
    <row r="402" spans="15:73"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H402" s="133"/>
      <c r="AI402" s="133"/>
      <c r="AJ402" s="133"/>
      <c r="AK402" s="13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  <c r="AV402" s="133"/>
      <c r="AW402" s="133"/>
      <c r="AX402" s="133"/>
      <c r="AY402" s="133"/>
      <c r="AZ402" s="133"/>
      <c r="BA402" s="133"/>
      <c r="BB402" s="133"/>
      <c r="BC402" s="133"/>
      <c r="BD402" s="133"/>
      <c r="BE402" s="133"/>
      <c r="BF402" s="133"/>
      <c r="BG402" s="133"/>
      <c r="BH402" s="133"/>
      <c r="BI402" s="133"/>
      <c r="BJ402" s="133"/>
      <c r="BK402" s="133"/>
      <c r="BL402" s="133"/>
      <c r="BM402" s="133"/>
      <c r="BN402" s="133"/>
      <c r="BO402" s="133"/>
      <c r="BP402" s="133"/>
      <c r="BQ402" s="133"/>
      <c r="BR402" s="133"/>
      <c r="BS402" s="133"/>
      <c r="BT402" s="133"/>
      <c r="BU402" s="133"/>
    </row>
    <row r="403" spans="15:73"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H403" s="133"/>
      <c r="AI403" s="133"/>
      <c r="AJ403" s="133"/>
      <c r="AK403" s="133"/>
      <c r="AL403" s="133"/>
      <c r="AM403" s="133"/>
      <c r="AN403" s="133"/>
      <c r="AO403" s="133"/>
      <c r="AP403" s="133"/>
      <c r="AQ403" s="133"/>
      <c r="AR403" s="133"/>
      <c r="AS403" s="133"/>
      <c r="AT403" s="133"/>
      <c r="AU403" s="133"/>
      <c r="AV403" s="133"/>
      <c r="AW403" s="133"/>
      <c r="AX403" s="133"/>
      <c r="AY403" s="133"/>
      <c r="AZ403" s="133"/>
      <c r="BA403" s="133"/>
      <c r="BB403" s="133"/>
      <c r="BC403" s="133"/>
      <c r="BD403" s="133"/>
      <c r="BE403" s="133"/>
      <c r="BF403" s="133"/>
      <c r="BG403" s="133"/>
      <c r="BH403" s="133"/>
      <c r="BI403" s="133"/>
      <c r="BJ403" s="133"/>
      <c r="BK403" s="133"/>
      <c r="BL403" s="133"/>
      <c r="BM403" s="133"/>
      <c r="BN403" s="133"/>
      <c r="BO403" s="133"/>
      <c r="BP403" s="133"/>
      <c r="BQ403" s="133"/>
      <c r="BR403" s="133"/>
      <c r="BS403" s="133"/>
      <c r="BT403" s="133"/>
      <c r="BU403" s="133"/>
    </row>
    <row r="404" spans="15:73"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H404" s="133"/>
      <c r="AI404" s="133"/>
      <c r="AJ404" s="133"/>
      <c r="AK404" s="133"/>
      <c r="AL404" s="133"/>
      <c r="AM404" s="133"/>
      <c r="AN404" s="133"/>
      <c r="AO404" s="133"/>
      <c r="AP404" s="133"/>
      <c r="AQ404" s="133"/>
      <c r="AR404" s="133"/>
      <c r="AS404" s="133"/>
      <c r="AT404" s="133"/>
      <c r="AU404" s="133"/>
      <c r="AV404" s="133"/>
      <c r="AW404" s="133"/>
      <c r="AX404" s="133"/>
      <c r="AY404" s="133"/>
      <c r="AZ404" s="133"/>
      <c r="BA404" s="133"/>
      <c r="BB404" s="133"/>
      <c r="BC404" s="133"/>
      <c r="BD404" s="133"/>
      <c r="BE404" s="133"/>
      <c r="BF404" s="133"/>
      <c r="BG404" s="133"/>
      <c r="BH404" s="133"/>
      <c r="BI404" s="133"/>
      <c r="BJ404" s="133"/>
      <c r="BK404" s="133"/>
      <c r="BL404" s="133"/>
      <c r="BM404" s="133"/>
      <c r="BN404" s="133"/>
      <c r="BO404" s="133"/>
      <c r="BP404" s="133"/>
      <c r="BQ404" s="133"/>
      <c r="BR404" s="133"/>
      <c r="BS404" s="133"/>
      <c r="BT404" s="133"/>
      <c r="BU404" s="133"/>
    </row>
    <row r="405" spans="15:73"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H405" s="133"/>
      <c r="AI405" s="133"/>
      <c r="AJ405" s="133"/>
      <c r="AK405" s="133"/>
      <c r="AL405" s="133"/>
      <c r="AM405" s="133"/>
      <c r="AN405" s="133"/>
      <c r="AO405" s="133"/>
      <c r="AP405" s="133"/>
      <c r="AQ405" s="133"/>
      <c r="AR405" s="133"/>
      <c r="AS405" s="133"/>
      <c r="AT405" s="133"/>
      <c r="AU405" s="133"/>
      <c r="AV405" s="133"/>
      <c r="AW405" s="133"/>
      <c r="AX405" s="133"/>
      <c r="AY405" s="133"/>
      <c r="AZ405" s="133"/>
      <c r="BA405" s="133"/>
      <c r="BB405" s="133"/>
      <c r="BC405" s="133"/>
      <c r="BD405" s="133"/>
      <c r="BE405" s="133"/>
      <c r="BF405" s="133"/>
      <c r="BG405" s="133"/>
      <c r="BH405" s="133"/>
      <c r="BI405" s="133"/>
      <c r="BJ405" s="133"/>
      <c r="BK405" s="133"/>
      <c r="BL405" s="133"/>
      <c r="BM405" s="133"/>
      <c r="BN405" s="133"/>
      <c r="BO405" s="133"/>
      <c r="BP405" s="133"/>
      <c r="BQ405" s="133"/>
      <c r="BR405" s="133"/>
      <c r="BS405" s="133"/>
      <c r="BT405" s="133"/>
      <c r="BU405" s="133"/>
    </row>
    <row r="406" spans="15:73"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H406" s="133"/>
      <c r="AI406" s="133"/>
      <c r="AJ406" s="133"/>
      <c r="AK406" s="133"/>
      <c r="AL406" s="133"/>
      <c r="AM406" s="133"/>
      <c r="AN406" s="133"/>
      <c r="AO406" s="133"/>
      <c r="AP406" s="133"/>
      <c r="AQ406" s="133"/>
      <c r="AR406" s="133"/>
      <c r="AS406" s="133"/>
      <c r="AT406" s="133"/>
      <c r="AU406" s="133"/>
      <c r="AV406" s="133"/>
      <c r="AW406" s="133"/>
      <c r="AX406" s="133"/>
      <c r="AY406" s="133"/>
      <c r="AZ406" s="133"/>
      <c r="BA406" s="133"/>
      <c r="BB406" s="133"/>
      <c r="BC406" s="133"/>
      <c r="BD406" s="133"/>
      <c r="BE406" s="133"/>
      <c r="BF406" s="133"/>
      <c r="BG406" s="133"/>
      <c r="BH406" s="133"/>
      <c r="BI406" s="133"/>
      <c r="BJ406" s="133"/>
      <c r="BK406" s="133"/>
      <c r="BL406" s="133"/>
      <c r="BM406" s="133"/>
      <c r="BN406" s="133"/>
      <c r="BO406" s="133"/>
      <c r="BP406" s="133"/>
      <c r="BQ406" s="133"/>
      <c r="BR406" s="133"/>
      <c r="BS406" s="133"/>
      <c r="BT406" s="133"/>
      <c r="BU406" s="133"/>
    </row>
    <row r="407" spans="15:73"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H407" s="133"/>
      <c r="AI407" s="133"/>
      <c r="AJ407" s="133"/>
      <c r="AK407" s="133"/>
      <c r="AL407" s="133"/>
      <c r="AM407" s="133"/>
      <c r="AN407" s="133"/>
      <c r="AO407" s="133"/>
      <c r="AP407" s="133"/>
      <c r="AQ407" s="133"/>
      <c r="AR407" s="133"/>
      <c r="AS407" s="133"/>
      <c r="AT407" s="133"/>
      <c r="AU407" s="133"/>
      <c r="AV407" s="133"/>
      <c r="AW407" s="133"/>
      <c r="AX407" s="133"/>
      <c r="AY407" s="133"/>
      <c r="AZ407" s="133"/>
      <c r="BA407" s="133"/>
      <c r="BB407" s="133"/>
      <c r="BC407" s="133"/>
      <c r="BD407" s="133"/>
      <c r="BE407" s="133"/>
      <c r="BF407" s="133"/>
      <c r="BG407" s="133"/>
      <c r="BH407" s="133"/>
      <c r="BI407" s="133"/>
      <c r="BJ407" s="133"/>
      <c r="BK407" s="133"/>
      <c r="BL407" s="133"/>
      <c r="BM407" s="133"/>
      <c r="BN407" s="133"/>
      <c r="BO407" s="133"/>
      <c r="BP407" s="133"/>
      <c r="BQ407" s="133"/>
      <c r="BR407" s="133"/>
      <c r="BS407" s="133"/>
      <c r="BT407" s="133"/>
      <c r="BU407" s="133"/>
    </row>
    <row r="408" spans="15:73"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H408" s="133"/>
      <c r="AI408" s="133"/>
      <c r="AJ408" s="133"/>
      <c r="AK408" s="133"/>
      <c r="AL408" s="133"/>
      <c r="AM408" s="133"/>
      <c r="AN408" s="133"/>
      <c r="AO408" s="133"/>
      <c r="AP408" s="133"/>
      <c r="AQ408" s="133"/>
      <c r="AR408" s="133"/>
      <c r="AS408" s="133"/>
      <c r="AT408" s="133"/>
      <c r="AU408" s="133"/>
      <c r="AV408" s="133"/>
      <c r="AW408" s="133"/>
      <c r="AX408" s="133"/>
      <c r="AY408" s="133"/>
      <c r="AZ408" s="133"/>
      <c r="BA408" s="133"/>
      <c r="BB408" s="133"/>
      <c r="BC408" s="133"/>
      <c r="BD408" s="133"/>
      <c r="BE408" s="133"/>
      <c r="BF408" s="133"/>
      <c r="BG408" s="133"/>
      <c r="BH408" s="133"/>
      <c r="BI408" s="133"/>
      <c r="BJ408" s="133"/>
      <c r="BK408" s="133"/>
      <c r="BL408" s="133"/>
      <c r="BM408" s="133"/>
      <c r="BN408" s="133"/>
      <c r="BO408" s="133"/>
      <c r="BP408" s="133"/>
      <c r="BQ408" s="133"/>
      <c r="BR408" s="133"/>
      <c r="BS408" s="133"/>
      <c r="BT408" s="133"/>
      <c r="BU408" s="133"/>
    </row>
    <row r="409" spans="15:73"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H409" s="133"/>
      <c r="AI409" s="133"/>
      <c r="AJ409" s="133"/>
      <c r="AK409" s="133"/>
      <c r="AL409" s="133"/>
      <c r="AM409" s="133"/>
      <c r="AN409" s="133"/>
      <c r="AO409" s="133"/>
      <c r="AP409" s="133"/>
      <c r="AQ409" s="133"/>
      <c r="AR409" s="133"/>
      <c r="AS409" s="133"/>
      <c r="AT409" s="133"/>
      <c r="AU409" s="133"/>
      <c r="AV409" s="133"/>
      <c r="AW409" s="133"/>
      <c r="AX409" s="133"/>
      <c r="AY409" s="133"/>
      <c r="AZ409" s="133"/>
      <c r="BA409" s="133"/>
      <c r="BB409" s="133"/>
      <c r="BC409" s="133"/>
      <c r="BD409" s="133"/>
      <c r="BE409" s="133"/>
      <c r="BF409" s="133"/>
      <c r="BG409" s="133"/>
      <c r="BH409" s="133"/>
      <c r="BI409" s="133"/>
      <c r="BJ409" s="133"/>
      <c r="BK409" s="133"/>
      <c r="BL409" s="133"/>
      <c r="BM409" s="133"/>
      <c r="BN409" s="133"/>
      <c r="BO409" s="133"/>
      <c r="BP409" s="133"/>
      <c r="BQ409" s="133"/>
      <c r="BR409" s="133"/>
      <c r="BS409" s="133"/>
      <c r="BT409" s="133"/>
      <c r="BU409" s="133"/>
    </row>
    <row r="410" spans="15:73"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H410" s="133"/>
      <c r="AI410" s="133"/>
      <c r="AJ410" s="133"/>
      <c r="AK410" s="133"/>
      <c r="AL410" s="133"/>
      <c r="AM410" s="133"/>
      <c r="AN410" s="133"/>
      <c r="AO410" s="133"/>
      <c r="AP410" s="133"/>
      <c r="AQ410" s="133"/>
      <c r="AR410" s="133"/>
      <c r="AS410" s="133"/>
      <c r="AT410" s="133"/>
      <c r="AU410" s="133"/>
      <c r="AV410" s="133"/>
      <c r="AW410" s="133"/>
      <c r="AX410" s="133"/>
      <c r="AY410" s="133"/>
      <c r="AZ410" s="133"/>
      <c r="BA410" s="133"/>
      <c r="BB410" s="133"/>
      <c r="BC410" s="133"/>
      <c r="BD410" s="133"/>
      <c r="BE410" s="133"/>
      <c r="BF410" s="133"/>
      <c r="BG410" s="133"/>
      <c r="BH410" s="133"/>
      <c r="BI410" s="133"/>
      <c r="BJ410" s="133"/>
      <c r="BK410" s="133"/>
      <c r="BL410" s="133"/>
      <c r="BM410" s="133"/>
      <c r="BN410" s="133"/>
      <c r="BO410" s="133"/>
      <c r="BP410" s="133"/>
      <c r="BQ410" s="133"/>
      <c r="BR410" s="133"/>
      <c r="BS410" s="133"/>
      <c r="BT410" s="133"/>
      <c r="BU410" s="133"/>
    </row>
    <row r="411" spans="15:73"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H411" s="133"/>
      <c r="AI411" s="133"/>
      <c r="AJ411" s="133"/>
      <c r="AK411" s="133"/>
      <c r="AL411" s="133"/>
      <c r="AM411" s="133"/>
      <c r="AN411" s="133"/>
      <c r="AO411" s="133"/>
      <c r="AP411" s="133"/>
      <c r="AQ411" s="133"/>
      <c r="AR411" s="133"/>
      <c r="AS411" s="133"/>
      <c r="AT411" s="133"/>
      <c r="AU411" s="133"/>
      <c r="AV411" s="133"/>
      <c r="AW411" s="133"/>
      <c r="AX411" s="133"/>
      <c r="AY411" s="133"/>
      <c r="AZ411" s="133"/>
      <c r="BA411" s="133"/>
      <c r="BB411" s="133"/>
      <c r="BC411" s="133"/>
      <c r="BD411" s="133"/>
      <c r="BE411" s="133"/>
      <c r="BF411" s="133"/>
      <c r="BG411" s="133"/>
      <c r="BH411" s="133"/>
      <c r="BI411" s="133"/>
      <c r="BJ411" s="133"/>
      <c r="BK411" s="133"/>
      <c r="BL411" s="133"/>
      <c r="BM411" s="133"/>
      <c r="BN411" s="133"/>
      <c r="BO411" s="133"/>
      <c r="BP411" s="133"/>
      <c r="BQ411" s="133"/>
      <c r="BR411" s="133"/>
      <c r="BS411" s="133"/>
      <c r="BT411" s="133"/>
      <c r="BU411" s="133"/>
    </row>
    <row r="412" spans="15:73"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H412" s="133"/>
      <c r="AI412" s="133"/>
      <c r="AJ412" s="133"/>
      <c r="AK412" s="133"/>
      <c r="AL412" s="133"/>
      <c r="AM412" s="133"/>
      <c r="AN412" s="133"/>
      <c r="AO412" s="133"/>
      <c r="AP412" s="133"/>
      <c r="AQ412" s="133"/>
      <c r="AR412" s="133"/>
      <c r="AS412" s="133"/>
      <c r="AT412" s="133"/>
      <c r="AU412" s="133"/>
      <c r="AV412" s="133"/>
      <c r="AW412" s="133"/>
      <c r="AX412" s="133"/>
      <c r="AY412" s="133"/>
      <c r="AZ412" s="133"/>
      <c r="BA412" s="133"/>
      <c r="BB412" s="133"/>
      <c r="BC412" s="133"/>
      <c r="BD412" s="133"/>
      <c r="BE412" s="133"/>
      <c r="BF412" s="133"/>
      <c r="BG412" s="133"/>
      <c r="BH412" s="133"/>
      <c r="BI412" s="133"/>
      <c r="BJ412" s="133"/>
      <c r="BK412" s="133"/>
      <c r="BL412" s="133"/>
      <c r="BM412" s="133"/>
      <c r="BN412" s="133"/>
      <c r="BO412" s="133"/>
      <c r="BP412" s="133"/>
      <c r="BQ412" s="133"/>
      <c r="BR412" s="133"/>
      <c r="BS412" s="133"/>
      <c r="BT412" s="133"/>
      <c r="BU412" s="133"/>
    </row>
    <row r="413" spans="15:73"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H413" s="133"/>
      <c r="AI413" s="133"/>
      <c r="AJ413" s="133"/>
      <c r="AK413" s="133"/>
      <c r="AL413" s="133"/>
      <c r="AM413" s="133"/>
      <c r="AN413" s="133"/>
      <c r="AO413" s="133"/>
      <c r="AP413" s="133"/>
      <c r="AQ413" s="133"/>
      <c r="AR413" s="133"/>
      <c r="AS413" s="133"/>
      <c r="AT413" s="133"/>
      <c r="AU413" s="133"/>
      <c r="AV413" s="133"/>
      <c r="AW413" s="133"/>
      <c r="AX413" s="133"/>
      <c r="AY413" s="133"/>
      <c r="AZ413" s="133"/>
      <c r="BA413" s="133"/>
      <c r="BB413" s="133"/>
      <c r="BC413" s="133"/>
      <c r="BD413" s="133"/>
      <c r="BE413" s="133"/>
      <c r="BF413" s="133"/>
      <c r="BG413" s="133"/>
      <c r="BH413" s="133"/>
      <c r="BI413" s="133"/>
      <c r="BJ413" s="133"/>
      <c r="BK413" s="133"/>
      <c r="BL413" s="133"/>
      <c r="BM413" s="133"/>
      <c r="BN413" s="133"/>
      <c r="BO413" s="133"/>
      <c r="BP413" s="133"/>
      <c r="BQ413" s="133"/>
      <c r="BR413" s="133"/>
      <c r="BS413" s="133"/>
      <c r="BT413" s="133"/>
      <c r="BU413" s="133"/>
    </row>
    <row r="414" spans="15:73"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H414" s="133"/>
      <c r="AI414" s="133"/>
      <c r="AJ414" s="133"/>
      <c r="AK414" s="133"/>
      <c r="AL414" s="133"/>
      <c r="AM414" s="133"/>
      <c r="AN414" s="133"/>
      <c r="AO414" s="133"/>
      <c r="AP414" s="133"/>
      <c r="AQ414" s="133"/>
      <c r="AR414" s="133"/>
      <c r="AS414" s="133"/>
      <c r="AT414" s="133"/>
      <c r="AU414" s="133"/>
      <c r="AV414" s="133"/>
      <c r="AW414" s="133"/>
      <c r="AX414" s="133"/>
      <c r="AY414" s="133"/>
      <c r="AZ414" s="133"/>
      <c r="BA414" s="133"/>
      <c r="BB414" s="133"/>
      <c r="BC414" s="133"/>
      <c r="BD414" s="133"/>
      <c r="BE414" s="133"/>
      <c r="BF414" s="133"/>
      <c r="BG414" s="133"/>
      <c r="BH414" s="133"/>
      <c r="BI414" s="133"/>
      <c r="BJ414" s="133"/>
      <c r="BK414" s="133"/>
      <c r="BL414" s="133"/>
      <c r="BM414" s="133"/>
      <c r="BN414" s="133"/>
      <c r="BO414" s="133"/>
      <c r="BP414" s="133"/>
      <c r="BQ414" s="133"/>
      <c r="BR414" s="133"/>
      <c r="BS414" s="133"/>
      <c r="BT414" s="133"/>
      <c r="BU414" s="133"/>
    </row>
    <row r="415" spans="15:73"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H415" s="133"/>
      <c r="AI415" s="133"/>
      <c r="AJ415" s="133"/>
      <c r="AK415" s="133"/>
      <c r="AL415" s="133"/>
      <c r="AM415" s="133"/>
      <c r="AN415" s="133"/>
      <c r="AO415" s="133"/>
      <c r="AP415" s="133"/>
      <c r="AQ415" s="133"/>
      <c r="AR415" s="133"/>
      <c r="AS415" s="133"/>
      <c r="AT415" s="133"/>
      <c r="AU415" s="133"/>
      <c r="AV415" s="133"/>
      <c r="AW415" s="133"/>
      <c r="AX415" s="133"/>
      <c r="AY415" s="133"/>
      <c r="AZ415" s="133"/>
      <c r="BA415" s="133"/>
      <c r="BB415" s="133"/>
      <c r="BC415" s="133"/>
      <c r="BD415" s="133"/>
      <c r="BE415" s="133"/>
      <c r="BF415" s="133"/>
      <c r="BG415" s="133"/>
      <c r="BH415" s="133"/>
      <c r="BI415" s="133"/>
      <c r="BJ415" s="133"/>
      <c r="BK415" s="133"/>
      <c r="BL415" s="133"/>
      <c r="BM415" s="133"/>
      <c r="BN415" s="133"/>
      <c r="BO415" s="133"/>
      <c r="BP415" s="133"/>
      <c r="BQ415" s="133"/>
      <c r="BR415" s="133"/>
      <c r="BS415" s="133"/>
      <c r="BT415" s="133"/>
      <c r="BU415" s="133"/>
    </row>
    <row r="416" spans="15:73"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H416" s="133"/>
      <c r="AI416" s="133"/>
      <c r="AJ416" s="133"/>
      <c r="AK416" s="133"/>
      <c r="AL416" s="133"/>
      <c r="AM416" s="133"/>
      <c r="AN416" s="133"/>
      <c r="AO416" s="133"/>
      <c r="AP416" s="133"/>
      <c r="AQ416" s="133"/>
      <c r="AR416" s="133"/>
      <c r="AS416" s="133"/>
      <c r="AT416" s="133"/>
      <c r="AU416" s="133"/>
      <c r="AV416" s="133"/>
      <c r="AW416" s="133"/>
      <c r="AX416" s="133"/>
      <c r="AY416" s="133"/>
      <c r="AZ416" s="133"/>
      <c r="BA416" s="133"/>
      <c r="BB416" s="133"/>
      <c r="BC416" s="133"/>
      <c r="BD416" s="133"/>
      <c r="BE416" s="133"/>
      <c r="BF416" s="133"/>
      <c r="BG416" s="133"/>
      <c r="BH416" s="133"/>
      <c r="BI416" s="133"/>
      <c r="BJ416" s="133"/>
      <c r="BK416" s="133"/>
      <c r="BL416" s="133"/>
      <c r="BM416" s="133"/>
      <c r="BN416" s="133"/>
      <c r="BO416" s="133"/>
      <c r="BP416" s="133"/>
      <c r="BQ416" s="133"/>
      <c r="BR416" s="133"/>
      <c r="BS416" s="133"/>
      <c r="BT416" s="133"/>
      <c r="BU416" s="133"/>
    </row>
    <row r="417" spans="15:73"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H417" s="133"/>
      <c r="AI417" s="133"/>
      <c r="AJ417" s="133"/>
      <c r="AK417" s="133"/>
      <c r="AL417" s="133"/>
      <c r="AM417" s="133"/>
      <c r="AN417" s="133"/>
      <c r="AO417" s="133"/>
      <c r="AP417" s="133"/>
      <c r="AQ417" s="133"/>
      <c r="AR417" s="133"/>
      <c r="AS417" s="133"/>
      <c r="AT417" s="133"/>
      <c r="AU417" s="133"/>
      <c r="AV417" s="133"/>
      <c r="AW417" s="133"/>
      <c r="AX417" s="133"/>
      <c r="AY417" s="133"/>
      <c r="AZ417" s="133"/>
      <c r="BA417" s="133"/>
      <c r="BB417" s="133"/>
      <c r="BC417" s="133"/>
      <c r="BD417" s="133"/>
      <c r="BE417" s="133"/>
      <c r="BF417" s="133"/>
      <c r="BG417" s="133"/>
      <c r="BH417" s="133"/>
      <c r="BI417" s="133"/>
      <c r="BJ417" s="133"/>
      <c r="BK417" s="133"/>
      <c r="BL417" s="133"/>
      <c r="BM417" s="133"/>
      <c r="BN417" s="133"/>
      <c r="BO417" s="133"/>
      <c r="BP417" s="133"/>
      <c r="BQ417" s="133"/>
      <c r="BR417" s="133"/>
      <c r="BS417" s="133"/>
      <c r="BT417" s="133"/>
      <c r="BU417" s="133"/>
    </row>
    <row r="418" spans="15:73"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H418" s="133"/>
      <c r="AI418" s="133"/>
      <c r="AJ418" s="133"/>
      <c r="AK418" s="133"/>
      <c r="AL418" s="133"/>
      <c r="AM418" s="133"/>
      <c r="AN418" s="133"/>
      <c r="AO418" s="133"/>
      <c r="AP418" s="133"/>
      <c r="AQ418" s="133"/>
      <c r="AR418" s="133"/>
      <c r="AS418" s="133"/>
      <c r="AT418" s="133"/>
      <c r="AU418" s="133"/>
      <c r="AV418" s="133"/>
      <c r="AW418" s="133"/>
      <c r="AX418" s="133"/>
      <c r="AY418" s="133"/>
      <c r="AZ418" s="133"/>
      <c r="BA418" s="133"/>
      <c r="BB418" s="133"/>
      <c r="BC418" s="133"/>
      <c r="BD418" s="133"/>
      <c r="BE418" s="133"/>
      <c r="BF418" s="133"/>
      <c r="BG418" s="133"/>
      <c r="BH418" s="133"/>
      <c r="BI418" s="133"/>
      <c r="BJ418" s="133"/>
      <c r="BK418" s="133"/>
      <c r="BL418" s="133"/>
      <c r="BM418" s="133"/>
      <c r="BN418" s="133"/>
      <c r="BO418" s="133"/>
      <c r="BP418" s="133"/>
      <c r="BQ418" s="133"/>
      <c r="BR418" s="133"/>
      <c r="BS418" s="133"/>
      <c r="BT418" s="133"/>
      <c r="BU418" s="133"/>
    </row>
    <row r="419" spans="15:73"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H419" s="133"/>
      <c r="AI419" s="133"/>
      <c r="AJ419" s="133"/>
      <c r="AK419" s="133"/>
      <c r="AL419" s="133"/>
      <c r="AM419" s="133"/>
      <c r="AN419" s="133"/>
      <c r="AO419" s="133"/>
      <c r="AP419" s="133"/>
      <c r="AQ419" s="133"/>
      <c r="AR419" s="133"/>
      <c r="AS419" s="133"/>
      <c r="AT419" s="133"/>
      <c r="AU419" s="133"/>
      <c r="AV419" s="133"/>
      <c r="AW419" s="133"/>
      <c r="AX419" s="133"/>
      <c r="AY419" s="133"/>
      <c r="AZ419" s="133"/>
      <c r="BA419" s="133"/>
      <c r="BB419" s="133"/>
      <c r="BC419" s="133"/>
      <c r="BD419" s="133"/>
      <c r="BE419" s="133"/>
      <c r="BF419" s="133"/>
      <c r="BG419" s="133"/>
      <c r="BH419" s="133"/>
      <c r="BI419" s="133"/>
      <c r="BJ419" s="133"/>
      <c r="BK419" s="133"/>
      <c r="BL419" s="133"/>
      <c r="BM419" s="133"/>
      <c r="BN419" s="133"/>
      <c r="BO419" s="133"/>
      <c r="BP419" s="133"/>
      <c r="BQ419" s="133"/>
      <c r="BR419" s="133"/>
      <c r="BS419" s="133"/>
      <c r="BT419" s="133"/>
      <c r="BU419" s="133"/>
    </row>
    <row r="420" spans="15:73"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H420" s="133"/>
      <c r="AI420" s="133"/>
      <c r="AJ420" s="133"/>
      <c r="AK420" s="133"/>
      <c r="AL420" s="133"/>
      <c r="AM420" s="133"/>
      <c r="AN420" s="133"/>
      <c r="AO420" s="133"/>
      <c r="AP420" s="133"/>
      <c r="AQ420" s="133"/>
      <c r="AR420" s="133"/>
      <c r="AS420" s="133"/>
      <c r="AT420" s="133"/>
      <c r="AU420" s="133"/>
      <c r="AV420" s="133"/>
      <c r="AW420" s="133"/>
      <c r="AX420" s="133"/>
      <c r="AY420" s="133"/>
      <c r="AZ420" s="133"/>
      <c r="BA420" s="133"/>
      <c r="BB420" s="133"/>
      <c r="BC420" s="133"/>
      <c r="BD420" s="133"/>
      <c r="BE420" s="133"/>
      <c r="BF420" s="133"/>
      <c r="BG420" s="133"/>
      <c r="BH420" s="133"/>
      <c r="BI420" s="133"/>
      <c r="BJ420" s="133"/>
      <c r="BK420" s="133"/>
      <c r="BL420" s="133"/>
      <c r="BM420" s="133"/>
      <c r="BN420" s="133"/>
      <c r="BO420" s="133"/>
      <c r="BP420" s="133"/>
      <c r="BQ420" s="133"/>
      <c r="BR420" s="133"/>
      <c r="BS420" s="133"/>
      <c r="BT420" s="133"/>
      <c r="BU420" s="133"/>
    </row>
    <row r="421" spans="15:73"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H421" s="133"/>
      <c r="AI421" s="133"/>
      <c r="AJ421" s="133"/>
      <c r="AK421" s="133"/>
      <c r="AL421" s="133"/>
      <c r="AM421" s="133"/>
      <c r="AN421" s="133"/>
      <c r="AO421" s="133"/>
      <c r="AP421" s="133"/>
      <c r="AQ421" s="133"/>
      <c r="AR421" s="133"/>
      <c r="AS421" s="133"/>
      <c r="AT421" s="133"/>
      <c r="AU421" s="133"/>
      <c r="AV421" s="133"/>
      <c r="AW421" s="133"/>
      <c r="AX421" s="133"/>
      <c r="AY421" s="133"/>
      <c r="AZ421" s="133"/>
      <c r="BA421" s="133"/>
      <c r="BB421" s="133"/>
      <c r="BC421" s="133"/>
      <c r="BD421" s="133"/>
      <c r="BE421" s="133"/>
      <c r="BF421" s="133"/>
      <c r="BG421" s="133"/>
      <c r="BH421" s="133"/>
      <c r="BI421" s="133"/>
      <c r="BJ421" s="133"/>
      <c r="BK421" s="133"/>
      <c r="BL421" s="133"/>
      <c r="BM421" s="133"/>
      <c r="BN421" s="133"/>
      <c r="BO421" s="133"/>
      <c r="BP421" s="133"/>
      <c r="BQ421" s="133"/>
      <c r="BR421" s="133"/>
      <c r="BS421" s="133"/>
      <c r="BT421" s="133"/>
      <c r="BU421" s="133"/>
    </row>
    <row r="422" spans="15:73"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H422" s="133"/>
      <c r="AI422" s="133"/>
      <c r="AJ422" s="133"/>
      <c r="AK422" s="133"/>
      <c r="AL422" s="133"/>
      <c r="AM422" s="133"/>
      <c r="AN422" s="133"/>
      <c r="AO422" s="133"/>
      <c r="AP422" s="133"/>
      <c r="AQ422" s="133"/>
      <c r="AR422" s="133"/>
      <c r="AS422" s="133"/>
      <c r="AT422" s="133"/>
      <c r="AU422" s="133"/>
      <c r="AV422" s="133"/>
      <c r="AW422" s="133"/>
      <c r="AX422" s="133"/>
      <c r="AY422" s="133"/>
      <c r="AZ422" s="133"/>
      <c r="BA422" s="133"/>
      <c r="BB422" s="133"/>
      <c r="BC422" s="133"/>
      <c r="BD422" s="133"/>
      <c r="BE422" s="133"/>
      <c r="BF422" s="133"/>
      <c r="BG422" s="133"/>
      <c r="BH422" s="133"/>
      <c r="BI422" s="133"/>
      <c r="BJ422" s="133"/>
      <c r="BK422" s="133"/>
      <c r="BL422" s="133"/>
      <c r="BM422" s="133"/>
      <c r="BN422" s="133"/>
      <c r="BO422" s="133"/>
      <c r="BP422" s="133"/>
      <c r="BQ422" s="133"/>
      <c r="BR422" s="133"/>
      <c r="BS422" s="133"/>
      <c r="BT422" s="133"/>
      <c r="BU422" s="133"/>
    </row>
    <row r="423" spans="15:73"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H423" s="133"/>
      <c r="AI423" s="133"/>
      <c r="AJ423" s="133"/>
      <c r="AK423" s="133"/>
      <c r="AL423" s="133"/>
      <c r="AM423" s="133"/>
      <c r="AN423" s="133"/>
      <c r="AO423" s="133"/>
      <c r="AP423" s="133"/>
      <c r="AQ423" s="133"/>
      <c r="AR423" s="133"/>
      <c r="AS423" s="133"/>
      <c r="AT423" s="133"/>
      <c r="AU423" s="133"/>
      <c r="AV423" s="133"/>
      <c r="AW423" s="133"/>
      <c r="AX423" s="133"/>
      <c r="AY423" s="133"/>
      <c r="AZ423" s="133"/>
      <c r="BA423" s="133"/>
      <c r="BB423" s="133"/>
      <c r="BC423" s="133"/>
      <c r="BD423" s="133"/>
      <c r="BE423" s="133"/>
      <c r="BF423" s="133"/>
      <c r="BG423" s="133"/>
      <c r="BH423" s="133"/>
      <c r="BI423" s="133"/>
      <c r="BJ423" s="133"/>
      <c r="BK423" s="133"/>
      <c r="BL423" s="133"/>
      <c r="BM423" s="133"/>
      <c r="BN423" s="133"/>
      <c r="BO423" s="133"/>
      <c r="BP423" s="133"/>
      <c r="BQ423" s="133"/>
      <c r="BR423" s="133"/>
      <c r="BS423" s="133"/>
      <c r="BT423" s="133"/>
      <c r="BU423" s="133"/>
    </row>
    <row r="424" spans="15:73"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H424" s="133"/>
      <c r="AI424" s="133"/>
      <c r="AJ424" s="133"/>
      <c r="AK424" s="133"/>
      <c r="AL424" s="133"/>
      <c r="AM424" s="133"/>
      <c r="AN424" s="133"/>
      <c r="AO424" s="133"/>
      <c r="AP424" s="133"/>
      <c r="AQ424" s="133"/>
      <c r="AR424" s="133"/>
      <c r="AS424" s="133"/>
      <c r="AT424" s="133"/>
      <c r="AU424" s="133"/>
      <c r="AV424" s="133"/>
      <c r="AW424" s="133"/>
      <c r="AX424" s="133"/>
      <c r="AY424" s="133"/>
      <c r="AZ424" s="133"/>
      <c r="BA424" s="133"/>
      <c r="BB424" s="133"/>
      <c r="BC424" s="133"/>
      <c r="BD424" s="133"/>
      <c r="BE424" s="133"/>
      <c r="BF424" s="133"/>
      <c r="BG424" s="133"/>
      <c r="BH424" s="133"/>
      <c r="BI424" s="133"/>
      <c r="BJ424" s="133"/>
      <c r="BK424" s="133"/>
      <c r="BL424" s="133"/>
      <c r="BM424" s="133"/>
      <c r="BN424" s="133"/>
      <c r="BO424" s="133"/>
      <c r="BP424" s="133"/>
      <c r="BQ424" s="133"/>
      <c r="BR424" s="133"/>
      <c r="BS424" s="133"/>
      <c r="BT424" s="133"/>
      <c r="BU424" s="133"/>
    </row>
    <row r="425" spans="15:73"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H425" s="133"/>
      <c r="AI425" s="133"/>
      <c r="AJ425" s="133"/>
      <c r="AK425" s="133"/>
      <c r="AL425" s="133"/>
      <c r="AM425" s="133"/>
      <c r="AN425" s="133"/>
      <c r="AO425" s="133"/>
      <c r="AP425" s="133"/>
      <c r="AQ425" s="133"/>
      <c r="AR425" s="133"/>
      <c r="AS425" s="133"/>
      <c r="AT425" s="133"/>
      <c r="AU425" s="133"/>
      <c r="AV425" s="133"/>
      <c r="AW425" s="133"/>
      <c r="AX425" s="133"/>
      <c r="AY425" s="133"/>
      <c r="AZ425" s="133"/>
      <c r="BA425" s="133"/>
      <c r="BB425" s="133"/>
      <c r="BC425" s="133"/>
      <c r="BD425" s="133"/>
      <c r="BE425" s="133"/>
      <c r="BF425" s="133"/>
      <c r="BG425" s="133"/>
      <c r="BH425" s="133"/>
      <c r="BI425" s="133"/>
      <c r="BJ425" s="133"/>
      <c r="BK425" s="133"/>
      <c r="BL425" s="133"/>
      <c r="BM425" s="133"/>
      <c r="BN425" s="133"/>
      <c r="BO425" s="133"/>
      <c r="BP425" s="133"/>
      <c r="BQ425" s="133"/>
      <c r="BR425" s="133"/>
      <c r="BS425" s="133"/>
      <c r="BT425" s="133"/>
      <c r="BU425" s="133"/>
    </row>
    <row r="426" spans="15:73"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H426" s="133"/>
      <c r="AI426" s="133"/>
      <c r="AJ426" s="133"/>
      <c r="AK426" s="133"/>
      <c r="AL426" s="133"/>
      <c r="AM426" s="133"/>
      <c r="AN426" s="133"/>
      <c r="AO426" s="133"/>
      <c r="AP426" s="133"/>
      <c r="AQ426" s="133"/>
      <c r="AR426" s="133"/>
      <c r="AS426" s="133"/>
      <c r="AT426" s="133"/>
      <c r="AU426" s="133"/>
      <c r="AV426" s="133"/>
      <c r="AW426" s="133"/>
      <c r="AX426" s="133"/>
      <c r="AY426" s="133"/>
      <c r="AZ426" s="133"/>
      <c r="BA426" s="133"/>
      <c r="BB426" s="133"/>
      <c r="BC426" s="133"/>
      <c r="BD426" s="133"/>
      <c r="BE426" s="133"/>
      <c r="BF426" s="133"/>
      <c r="BG426" s="133"/>
      <c r="BH426" s="133"/>
      <c r="BI426" s="133"/>
      <c r="BJ426" s="133"/>
      <c r="BK426" s="133"/>
      <c r="BL426" s="133"/>
      <c r="BM426" s="133"/>
      <c r="BN426" s="133"/>
      <c r="BO426" s="133"/>
      <c r="BP426" s="133"/>
      <c r="BQ426" s="133"/>
      <c r="BR426" s="133"/>
      <c r="BS426" s="133"/>
      <c r="BT426" s="133"/>
      <c r="BU426" s="133"/>
    </row>
    <row r="427" spans="15:73"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H427" s="133"/>
      <c r="AI427" s="133"/>
      <c r="AJ427" s="133"/>
      <c r="AK427" s="133"/>
      <c r="AL427" s="133"/>
      <c r="AM427" s="133"/>
      <c r="AN427" s="133"/>
      <c r="AO427" s="133"/>
      <c r="AP427" s="133"/>
      <c r="AQ427" s="133"/>
      <c r="AR427" s="133"/>
      <c r="AS427" s="133"/>
      <c r="AT427" s="133"/>
      <c r="AU427" s="133"/>
      <c r="AV427" s="133"/>
      <c r="AW427" s="133"/>
      <c r="AX427" s="133"/>
      <c r="AY427" s="133"/>
      <c r="AZ427" s="133"/>
      <c r="BA427" s="133"/>
      <c r="BB427" s="133"/>
      <c r="BC427" s="133"/>
      <c r="BD427" s="133"/>
      <c r="BE427" s="133"/>
      <c r="BF427" s="133"/>
      <c r="BG427" s="133"/>
      <c r="BH427" s="133"/>
      <c r="BI427" s="133"/>
      <c r="BJ427" s="133"/>
      <c r="BK427" s="133"/>
      <c r="BL427" s="133"/>
      <c r="BM427" s="133"/>
      <c r="BN427" s="133"/>
      <c r="BO427" s="133"/>
      <c r="BP427" s="133"/>
      <c r="BQ427" s="133"/>
      <c r="BR427" s="133"/>
      <c r="BS427" s="133"/>
      <c r="BT427" s="133"/>
      <c r="BU427" s="133"/>
    </row>
    <row r="428" spans="15:73"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H428" s="133"/>
      <c r="AI428" s="133"/>
      <c r="AJ428" s="133"/>
      <c r="AK428" s="133"/>
      <c r="AL428" s="133"/>
      <c r="AM428" s="133"/>
      <c r="AN428" s="133"/>
      <c r="AO428" s="133"/>
      <c r="AP428" s="133"/>
      <c r="AQ428" s="133"/>
      <c r="AR428" s="133"/>
      <c r="AS428" s="133"/>
      <c r="AT428" s="133"/>
      <c r="AU428" s="133"/>
      <c r="AV428" s="133"/>
      <c r="AW428" s="133"/>
      <c r="AX428" s="133"/>
      <c r="AY428" s="133"/>
      <c r="AZ428" s="133"/>
      <c r="BA428" s="133"/>
      <c r="BB428" s="133"/>
      <c r="BC428" s="133"/>
      <c r="BD428" s="133"/>
      <c r="BE428" s="133"/>
      <c r="BF428" s="133"/>
      <c r="BG428" s="133"/>
      <c r="BH428" s="133"/>
      <c r="BI428" s="133"/>
      <c r="BJ428" s="133"/>
      <c r="BK428" s="133"/>
      <c r="BL428" s="133"/>
      <c r="BM428" s="133"/>
      <c r="BN428" s="133"/>
      <c r="BO428" s="133"/>
      <c r="BP428" s="133"/>
      <c r="BQ428" s="133"/>
      <c r="BR428" s="133"/>
      <c r="BS428" s="133"/>
      <c r="BT428" s="133"/>
      <c r="BU428" s="133"/>
    </row>
    <row r="429" spans="15:73"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H429" s="133"/>
      <c r="AI429" s="133"/>
      <c r="AJ429" s="133"/>
      <c r="AK429" s="133"/>
      <c r="AL429" s="133"/>
      <c r="AM429" s="133"/>
      <c r="AN429" s="133"/>
      <c r="AO429" s="133"/>
      <c r="AP429" s="133"/>
      <c r="AQ429" s="133"/>
      <c r="AR429" s="133"/>
      <c r="AS429" s="133"/>
      <c r="AT429" s="133"/>
      <c r="AU429" s="133"/>
      <c r="AV429" s="133"/>
      <c r="AW429" s="133"/>
      <c r="AX429" s="133"/>
      <c r="AY429" s="133"/>
      <c r="AZ429" s="133"/>
      <c r="BA429" s="133"/>
      <c r="BB429" s="133"/>
      <c r="BC429" s="133"/>
      <c r="BD429" s="133"/>
      <c r="BE429" s="133"/>
      <c r="BF429" s="133"/>
      <c r="BG429" s="133"/>
      <c r="BH429" s="133"/>
      <c r="BI429" s="133"/>
      <c r="BJ429" s="133"/>
      <c r="BK429" s="133"/>
      <c r="BL429" s="133"/>
      <c r="BM429" s="133"/>
      <c r="BN429" s="133"/>
      <c r="BO429" s="133"/>
      <c r="BP429" s="133"/>
      <c r="BQ429" s="133"/>
      <c r="BR429" s="133"/>
      <c r="BS429" s="133"/>
      <c r="BT429" s="133"/>
      <c r="BU429" s="133"/>
    </row>
    <row r="430" spans="15:73"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H430" s="133"/>
      <c r="AI430" s="133"/>
      <c r="AJ430" s="133"/>
      <c r="AK430" s="133"/>
      <c r="AL430" s="133"/>
      <c r="AM430" s="133"/>
      <c r="AN430" s="133"/>
      <c r="AO430" s="133"/>
      <c r="AP430" s="133"/>
      <c r="AQ430" s="133"/>
      <c r="AR430" s="133"/>
      <c r="AS430" s="133"/>
      <c r="AT430" s="133"/>
      <c r="AU430" s="133"/>
      <c r="AV430" s="133"/>
      <c r="AW430" s="133"/>
      <c r="AX430" s="133"/>
      <c r="AY430" s="133"/>
      <c r="AZ430" s="133"/>
      <c r="BA430" s="133"/>
      <c r="BB430" s="133"/>
      <c r="BC430" s="133"/>
      <c r="BD430" s="133"/>
      <c r="BE430" s="133"/>
      <c r="BF430" s="133"/>
      <c r="BG430" s="133"/>
      <c r="BH430" s="133"/>
      <c r="BI430" s="133"/>
      <c r="BJ430" s="133"/>
      <c r="BK430" s="133"/>
      <c r="BL430" s="133"/>
      <c r="BM430" s="133"/>
      <c r="BN430" s="133"/>
      <c r="BO430" s="133"/>
      <c r="BP430" s="133"/>
      <c r="BQ430" s="133"/>
      <c r="BR430" s="133"/>
      <c r="BS430" s="133"/>
      <c r="BT430" s="133"/>
      <c r="BU430" s="133"/>
    </row>
    <row r="431" spans="15:73"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H431" s="133"/>
      <c r="AI431" s="133"/>
      <c r="AJ431" s="133"/>
      <c r="AK431" s="133"/>
      <c r="AL431" s="133"/>
      <c r="AM431" s="133"/>
      <c r="AN431" s="133"/>
      <c r="AO431" s="133"/>
      <c r="AP431" s="133"/>
      <c r="AQ431" s="133"/>
      <c r="AR431" s="133"/>
      <c r="AS431" s="133"/>
      <c r="AT431" s="133"/>
      <c r="AU431" s="133"/>
      <c r="AV431" s="133"/>
      <c r="AW431" s="133"/>
      <c r="AX431" s="133"/>
      <c r="AY431" s="133"/>
      <c r="AZ431" s="133"/>
      <c r="BA431" s="133"/>
      <c r="BB431" s="133"/>
      <c r="BC431" s="133"/>
      <c r="BD431" s="133"/>
      <c r="BE431" s="133"/>
      <c r="BF431" s="133"/>
      <c r="BG431" s="133"/>
      <c r="BH431" s="133"/>
      <c r="BI431" s="133"/>
      <c r="BJ431" s="133"/>
      <c r="BK431" s="133"/>
      <c r="BL431" s="133"/>
      <c r="BM431" s="133"/>
      <c r="BN431" s="133"/>
      <c r="BO431" s="133"/>
      <c r="BP431" s="133"/>
      <c r="BQ431" s="133"/>
      <c r="BR431" s="133"/>
      <c r="BS431" s="133"/>
      <c r="BT431" s="133"/>
      <c r="BU431" s="133"/>
    </row>
    <row r="432" spans="15:73"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H432" s="133"/>
      <c r="AI432" s="133"/>
      <c r="AJ432" s="133"/>
      <c r="AK432" s="133"/>
      <c r="AL432" s="133"/>
      <c r="AM432" s="133"/>
      <c r="AN432" s="133"/>
      <c r="AO432" s="133"/>
      <c r="AP432" s="133"/>
      <c r="AQ432" s="133"/>
      <c r="AR432" s="133"/>
      <c r="AS432" s="133"/>
      <c r="AT432" s="133"/>
      <c r="AU432" s="133"/>
      <c r="AV432" s="133"/>
      <c r="AW432" s="133"/>
      <c r="AX432" s="133"/>
      <c r="AY432" s="133"/>
      <c r="AZ432" s="133"/>
      <c r="BA432" s="133"/>
      <c r="BB432" s="133"/>
      <c r="BC432" s="133"/>
      <c r="BD432" s="133"/>
      <c r="BE432" s="133"/>
      <c r="BF432" s="133"/>
      <c r="BG432" s="133"/>
      <c r="BH432" s="133"/>
      <c r="BI432" s="133"/>
      <c r="BJ432" s="133"/>
      <c r="BK432" s="133"/>
      <c r="BL432" s="133"/>
      <c r="BM432" s="133"/>
      <c r="BN432" s="133"/>
      <c r="BO432" s="133"/>
      <c r="BP432" s="133"/>
      <c r="BQ432" s="133"/>
      <c r="BR432" s="133"/>
      <c r="BS432" s="133"/>
      <c r="BT432" s="133"/>
      <c r="BU432" s="133"/>
    </row>
    <row r="433" spans="15:73"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  <c r="AF433" s="133"/>
      <c r="AG433" s="133"/>
      <c r="AH433" s="133"/>
      <c r="AI433" s="133"/>
      <c r="AJ433" s="133"/>
      <c r="AK433" s="133"/>
      <c r="AL433" s="133"/>
      <c r="AM433" s="133"/>
      <c r="AN433" s="133"/>
      <c r="AO433" s="133"/>
      <c r="AP433" s="133"/>
      <c r="AQ433" s="133"/>
      <c r="AR433" s="133"/>
      <c r="AS433" s="133"/>
      <c r="AT433" s="133"/>
      <c r="AU433" s="133"/>
      <c r="AV433" s="133"/>
      <c r="AW433" s="133"/>
      <c r="AX433" s="133"/>
      <c r="AY433" s="133"/>
      <c r="AZ433" s="133"/>
      <c r="BA433" s="133"/>
      <c r="BB433" s="133"/>
      <c r="BC433" s="133"/>
      <c r="BD433" s="133"/>
      <c r="BE433" s="133"/>
      <c r="BF433" s="133"/>
      <c r="BG433" s="133"/>
      <c r="BH433" s="133"/>
      <c r="BI433" s="133"/>
      <c r="BJ433" s="133"/>
      <c r="BK433" s="133"/>
      <c r="BL433" s="133"/>
      <c r="BM433" s="133"/>
      <c r="BN433" s="133"/>
      <c r="BO433" s="133"/>
      <c r="BP433" s="133"/>
      <c r="BQ433" s="133"/>
      <c r="BR433" s="133"/>
      <c r="BS433" s="133"/>
      <c r="BT433" s="133"/>
      <c r="BU433" s="133"/>
    </row>
    <row r="434" spans="15:73"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  <c r="AF434" s="133"/>
      <c r="AG434" s="133"/>
      <c r="AH434" s="133"/>
      <c r="AI434" s="133"/>
      <c r="AJ434" s="133"/>
      <c r="AK434" s="133"/>
      <c r="AL434" s="133"/>
      <c r="AM434" s="133"/>
      <c r="AN434" s="133"/>
      <c r="AO434" s="133"/>
      <c r="AP434" s="133"/>
      <c r="AQ434" s="133"/>
      <c r="AR434" s="133"/>
      <c r="AS434" s="133"/>
      <c r="AT434" s="133"/>
      <c r="AU434" s="133"/>
      <c r="AV434" s="133"/>
      <c r="AW434" s="133"/>
      <c r="AX434" s="133"/>
      <c r="AY434" s="133"/>
      <c r="AZ434" s="133"/>
      <c r="BA434" s="133"/>
      <c r="BB434" s="133"/>
      <c r="BC434" s="133"/>
      <c r="BD434" s="133"/>
      <c r="BE434" s="133"/>
      <c r="BF434" s="133"/>
      <c r="BG434" s="133"/>
      <c r="BH434" s="133"/>
      <c r="BI434" s="133"/>
      <c r="BJ434" s="133"/>
      <c r="BK434" s="133"/>
      <c r="BL434" s="133"/>
      <c r="BM434" s="133"/>
      <c r="BN434" s="133"/>
      <c r="BO434" s="133"/>
      <c r="BP434" s="133"/>
      <c r="BQ434" s="133"/>
      <c r="BR434" s="133"/>
      <c r="BS434" s="133"/>
      <c r="BT434" s="133"/>
      <c r="BU434" s="133"/>
    </row>
    <row r="435" spans="15:73"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  <c r="AF435" s="133"/>
      <c r="AG435" s="133"/>
      <c r="AH435" s="133"/>
      <c r="AI435" s="133"/>
      <c r="AJ435" s="133"/>
      <c r="AK435" s="133"/>
      <c r="AL435" s="133"/>
      <c r="AM435" s="133"/>
      <c r="AN435" s="133"/>
      <c r="AO435" s="133"/>
      <c r="AP435" s="133"/>
      <c r="AQ435" s="133"/>
      <c r="AR435" s="133"/>
      <c r="AS435" s="133"/>
      <c r="AT435" s="133"/>
      <c r="AU435" s="133"/>
      <c r="AV435" s="133"/>
      <c r="AW435" s="133"/>
      <c r="AX435" s="133"/>
      <c r="AY435" s="133"/>
      <c r="AZ435" s="133"/>
      <c r="BA435" s="133"/>
      <c r="BB435" s="133"/>
      <c r="BC435" s="133"/>
      <c r="BD435" s="133"/>
      <c r="BE435" s="133"/>
      <c r="BF435" s="133"/>
      <c r="BG435" s="133"/>
      <c r="BH435" s="133"/>
      <c r="BI435" s="133"/>
      <c r="BJ435" s="133"/>
      <c r="BK435" s="133"/>
      <c r="BL435" s="133"/>
      <c r="BM435" s="133"/>
      <c r="BN435" s="133"/>
      <c r="BO435" s="133"/>
      <c r="BP435" s="133"/>
      <c r="BQ435" s="133"/>
      <c r="BR435" s="133"/>
      <c r="BS435" s="133"/>
      <c r="BT435" s="133"/>
      <c r="BU435" s="133"/>
    </row>
    <row r="436" spans="15:73"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  <c r="AF436" s="133"/>
      <c r="AG436" s="133"/>
      <c r="AH436" s="133"/>
      <c r="AI436" s="133"/>
      <c r="AJ436" s="133"/>
      <c r="AK436" s="133"/>
      <c r="AL436" s="133"/>
      <c r="AM436" s="133"/>
      <c r="AN436" s="133"/>
      <c r="AO436" s="133"/>
      <c r="AP436" s="133"/>
      <c r="AQ436" s="133"/>
      <c r="AR436" s="133"/>
      <c r="AS436" s="133"/>
      <c r="AT436" s="133"/>
      <c r="AU436" s="133"/>
      <c r="AV436" s="133"/>
      <c r="AW436" s="133"/>
      <c r="AX436" s="133"/>
      <c r="AY436" s="133"/>
      <c r="AZ436" s="133"/>
      <c r="BA436" s="133"/>
      <c r="BB436" s="133"/>
      <c r="BC436" s="133"/>
      <c r="BD436" s="133"/>
      <c r="BE436" s="133"/>
      <c r="BF436" s="133"/>
      <c r="BG436" s="133"/>
      <c r="BH436" s="133"/>
      <c r="BI436" s="133"/>
      <c r="BJ436" s="133"/>
      <c r="BK436" s="133"/>
      <c r="BL436" s="133"/>
      <c r="BM436" s="133"/>
      <c r="BN436" s="133"/>
      <c r="BO436" s="133"/>
      <c r="BP436" s="133"/>
      <c r="BQ436" s="133"/>
      <c r="BR436" s="133"/>
      <c r="BS436" s="133"/>
      <c r="BT436" s="133"/>
      <c r="BU436" s="133"/>
    </row>
    <row r="437" spans="15:73"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  <c r="AF437" s="133"/>
      <c r="AG437" s="133"/>
      <c r="AH437" s="133"/>
      <c r="AI437" s="133"/>
      <c r="AJ437" s="133"/>
      <c r="AK437" s="133"/>
      <c r="AL437" s="133"/>
      <c r="AM437" s="133"/>
      <c r="AN437" s="133"/>
      <c r="AO437" s="133"/>
      <c r="AP437" s="133"/>
      <c r="AQ437" s="133"/>
      <c r="AR437" s="133"/>
      <c r="AS437" s="133"/>
      <c r="AT437" s="133"/>
      <c r="AU437" s="133"/>
      <c r="AV437" s="133"/>
      <c r="AW437" s="133"/>
      <c r="AX437" s="133"/>
      <c r="AY437" s="133"/>
      <c r="AZ437" s="133"/>
      <c r="BA437" s="133"/>
      <c r="BB437" s="133"/>
      <c r="BC437" s="133"/>
      <c r="BD437" s="133"/>
      <c r="BE437" s="133"/>
      <c r="BF437" s="133"/>
      <c r="BG437" s="133"/>
      <c r="BH437" s="133"/>
      <c r="BI437" s="133"/>
      <c r="BJ437" s="133"/>
      <c r="BK437" s="133"/>
      <c r="BL437" s="133"/>
      <c r="BM437" s="133"/>
      <c r="BN437" s="133"/>
      <c r="BO437" s="133"/>
      <c r="BP437" s="133"/>
      <c r="BQ437" s="133"/>
      <c r="BR437" s="133"/>
      <c r="BS437" s="133"/>
      <c r="BT437" s="133"/>
      <c r="BU437" s="133"/>
    </row>
    <row r="438" spans="15:73"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  <c r="AF438" s="133"/>
      <c r="AG438" s="133"/>
      <c r="AH438" s="133"/>
      <c r="AI438" s="133"/>
      <c r="AJ438" s="133"/>
      <c r="AK438" s="13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  <c r="AV438" s="133"/>
      <c r="AW438" s="133"/>
      <c r="AX438" s="133"/>
      <c r="AY438" s="133"/>
      <c r="AZ438" s="133"/>
      <c r="BA438" s="133"/>
      <c r="BB438" s="133"/>
      <c r="BC438" s="133"/>
      <c r="BD438" s="133"/>
      <c r="BE438" s="133"/>
      <c r="BF438" s="133"/>
      <c r="BG438" s="133"/>
      <c r="BH438" s="133"/>
      <c r="BI438" s="133"/>
      <c r="BJ438" s="133"/>
      <c r="BK438" s="133"/>
      <c r="BL438" s="133"/>
      <c r="BM438" s="133"/>
      <c r="BN438" s="133"/>
      <c r="BO438" s="133"/>
      <c r="BP438" s="133"/>
      <c r="BQ438" s="133"/>
      <c r="BR438" s="133"/>
      <c r="BS438" s="133"/>
      <c r="BT438" s="133"/>
      <c r="BU438" s="133"/>
    </row>
    <row r="439" spans="15:73"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  <c r="AF439" s="133"/>
      <c r="AG439" s="133"/>
      <c r="AH439" s="133"/>
      <c r="AI439" s="133"/>
      <c r="AJ439" s="133"/>
      <c r="AK439" s="133"/>
      <c r="AL439" s="133"/>
      <c r="AM439" s="133"/>
      <c r="AN439" s="133"/>
      <c r="AO439" s="133"/>
      <c r="AP439" s="133"/>
      <c r="AQ439" s="133"/>
      <c r="AR439" s="133"/>
      <c r="AS439" s="133"/>
      <c r="AT439" s="133"/>
      <c r="AU439" s="133"/>
      <c r="AV439" s="133"/>
      <c r="AW439" s="133"/>
      <c r="AX439" s="133"/>
      <c r="AY439" s="133"/>
      <c r="AZ439" s="133"/>
      <c r="BA439" s="133"/>
      <c r="BB439" s="133"/>
      <c r="BC439" s="133"/>
      <c r="BD439" s="133"/>
      <c r="BE439" s="133"/>
      <c r="BF439" s="133"/>
      <c r="BG439" s="133"/>
      <c r="BH439" s="133"/>
      <c r="BI439" s="133"/>
      <c r="BJ439" s="133"/>
      <c r="BK439" s="133"/>
      <c r="BL439" s="133"/>
      <c r="BM439" s="133"/>
      <c r="BN439" s="133"/>
      <c r="BO439" s="133"/>
      <c r="BP439" s="133"/>
      <c r="BQ439" s="133"/>
      <c r="BR439" s="133"/>
      <c r="BS439" s="133"/>
      <c r="BT439" s="133"/>
      <c r="BU439" s="133"/>
    </row>
    <row r="440" spans="15:73"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  <c r="AF440" s="133"/>
      <c r="AG440" s="133"/>
      <c r="AH440" s="133"/>
      <c r="AI440" s="133"/>
      <c r="AJ440" s="133"/>
      <c r="AK440" s="133"/>
      <c r="AL440" s="133"/>
      <c r="AM440" s="133"/>
      <c r="AN440" s="133"/>
      <c r="AO440" s="133"/>
      <c r="AP440" s="133"/>
      <c r="AQ440" s="133"/>
      <c r="AR440" s="133"/>
      <c r="AS440" s="133"/>
      <c r="AT440" s="133"/>
      <c r="AU440" s="133"/>
      <c r="AV440" s="133"/>
      <c r="AW440" s="133"/>
      <c r="AX440" s="133"/>
      <c r="AY440" s="133"/>
      <c r="AZ440" s="133"/>
      <c r="BA440" s="133"/>
      <c r="BB440" s="133"/>
      <c r="BC440" s="133"/>
      <c r="BD440" s="133"/>
      <c r="BE440" s="133"/>
      <c r="BF440" s="133"/>
      <c r="BG440" s="133"/>
      <c r="BH440" s="133"/>
      <c r="BI440" s="133"/>
      <c r="BJ440" s="133"/>
      <c r="BK440" s="133"/>
      <c r="BL440" s="133"/>
      <c r="BM440" s="133"/>
      <c r="BN440" s="133"/>
      <c r="BO440" s="133"/>
      <c r="BP440" s="133"/>
      <c r="BQ440" s="133"/>
      <c r="BR440" s="133"/>
      <c r="BS440" s="133"/>
      <c r="BT440" s="133"/>
      <c r="BU440" s="133"/>
    </row>
    <row r="441" spans="15:73"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  <c r="AF441" s="133"/>
      <c r="AG441" s="133"/>
      <c r="AH441" s="133"/>
      <c r="AI441" s="133"/>
      <c r="AJ441" s="133"/>
      <c r="AK441" s="133"/>
      <c r="AL441" s="133"/>
      <c r="AM441" s="133"/>
      <c r="AN441" s="133"/>
      <c r="AO441" s="133"/>
      <c r="AP441" s="133"/>
      <c r="AQ441" s="133"/>
      <c r="AR441" s="133"/>
      <c r="AS441" s="133"/>
      <c r="AT441" s="133"/>
      <c r="AU441" s="133"/>
      <c r="AV441" s="133"/>
      <c r="AW441" s="133"/>
      <c r="AX441" s="133"/>
      <c r="AY441" s="133"/>
      <c r="AZ441" s="133"/>
      <c r="BA441" s="133"/>
      <c r="BB441" s="133"/>
      <c r="BC441" s="133"/>
      <c r="BD441" s="133"/>
      <c r="BE441" s="133"/>
      <c r="BF441" s="133"/>
      <c r="BG441" s="133"/>
      <c r="BH441" s="133"/>
      <c r="BI441" s="133"/>
      <c r="BJ441" s="133"/>
      <c r="BK441" s="133"/>
      <c r="BL441" s="133"/>
      <c r="BM441" s="133"/>
      <c r="BN441" s="133"/>
      <c r="BO441" s="133"/>
      <c r="BP441" s="133"/>
      <c r="BQ441" s="133"/>
      <c r="BR441" s="133"/>
      <c r="BS441" s="133"/>
      <c r="BT441" s="133"/>
      <c r="BU441" s="133"/>
    </row>
    <row r="442" spans="15:73"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  <c r="AF442" s="133"/>
      <c r="AG442" s="133"/>
      <c r="AH442" s="133"/>
      <c r="AI442" s="133"/>
      <c r="AJ442" s="133"/>
      <c r="AK442" s="133"/>
      <c r="AL442" s="133"/>
      <c r="AM442" s="133"/>
      <c r="AN442" s="133"/>
      <c r="AO442" s="133"/>
      <c r="AP442" s="133"/>
      <c r="AQ442" s="133"/>
      <c r="AR442" s="133"/>
      <c r="AS442" s="133"/>
      <c r="AT442" s="133"/>
      <c r="AU442" s="133"/>
      <c r="AV442" s="133"/>
      <c r="AW442" s="133"/>
      <c r="AX442" s="133"/>
      <c r="AY442" s="133"/>
      <c r="AZ442" s="133"/>
      <c r="BA442" s="133"/>
      <c r="BB442" s="133"/>
      <c r="BC442" s="133"/>
      <c r="BD442" s="133"/>
      <c r="BE442" s="133"/>
      <c r="BF442" s="133"/>
      <c r="BG442" s="133"/>
      <c r="BH442" s="133"/>
      <c r="BI442" s="133"/>
      <c r="BJ442" s="133"/>
      <c r="BK442" s="133"/>
      <c r="BL442" s="133"/>
      <c r="BM442" s="133"/>
      <c r="BN442" s="133"/>
      <c r="BO442" s="133"/>
      <c r="BP442" s="133"/>
      <c r="BQ442" s="133"/>
      <c r="BR442" s="133"/>
      <c r="BS442" s="133"/>
      <c r="BT442" s="133"/>
      <c r="BU442" s="133"/>
    </row>
    <row r="443" spans="15:73"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  <c r="AH443" s="133"/>
      <c r="AI443" s="133"/>
      <c r="AJ443" s="133"/>
      <c r="AK443" s="133"/>
      <c r="AL443" s="133"/>
      <c r="AM443" s="133"/>
      <c r="AN443" s="133"/>
      <c r="AO443" s="133"/>
      <c r="AP443" s="133"/>
      <c r="AQ443" s="133"/>
      <c r="AR443" s="133"/>
      <c r="AS443" s="133"/>
      <c r="AT443" s="133"/>
      <c r="AU443" s="133"/>
      <c r="AV443" s="133"/>
      <c r="AW443" s="133"/>
      <c r="AX443" s="133"/>
      <c r="AY443" s="133"/>
      <c r="AZ443" s="133"/>
      <c r="BA443" s="133"/>
      <c r="BB443" s="133"/>
      <c r="BC443" s="133"/>
      <c r="BD443" s="133"/>
      <c r="BE443" s="133"/>
      <c r="BF443" s="133"/>
      <c r="BG443" s="133"/>
      <c r="BH443" s="133"/>
      <c r="BI443" s="133"/>
      <c r="BJ443" s="133"/>
      <c r="BK443" s="133"/>
      <c r="BL443" s="133"/>
      <c r="BM443" s="133"/>
      <c r="BN443" s="133"/>
      <c r="BO443" s="133"/>
      <c r="BP443" s="133"/>
      <c r="BQ443" s="133"/>
      <c r="BR443" s="133"/>
      <c r="BS443" s="133"/>
      <c r="BT443" s="133"/>
      <c r="BU443" s="133"/>
    </row>
    <row r="444" spans="15:73"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  <c r="AH444" s="133"/>
      <c r="AI444" s="133"/>
      <c r="AJ444" s="133"/>
      <c r="AK444" s="133"/>
      <c r="AL444" s="133"/>
      <c r="AM444" s="133"/>
      <c r="AN444" s="133"/>
      <c r="AO444" s="133"/>
      <c r="AP444" s="133"/>
      <c r="AQ444" s="133"/>
      <c r="AR444" s="133"/>
      <c r="AS444" s="133"/>
      <c r="AT444" s="133"/>
      <c r="AU444" s="133"/>
      <c r="AV444" s="133"/>
      <c r="AW444" s="133"/>
      <c r="AX444" s="133"/>
      <c r="AY444" s="133"/>
      <c r="AZ444" s="133"/>
      <c r="BA444" s="133"/>
      <c r="BB444" s="133"/>
      <c r="BC444" s="133"/>
      <c r="BD444" s="133"/>
      <c r="BE444" s="133"/>
      <c r="BF444" s="133"/>
      <c r="BG444" s="133"/>
      <c r="BH444" s="133"/>
      <c r="BI444" s="133"/>
      <c r="BJ444" s="133"/>
      <c r="BK444" s="133"/>
      <c r="BL444" s="133"/>
      <c r="BM444" s="133"/>
      <c r="BN444" s="133"/>
      <c r="BO444" s="133"/>
      <c r="BP444" s="133"/>
      <c r="BQ444" s="133"/>
      <c r="BR444" s="133"/>
      <c r="BS444" s="133"/>
      <c r="BT444" s="133"/>
      <c r="BU444" s="133"/>
    </row>
    <row r="445" spans="15:73"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  <c r="AH445" s="133"/>
      <c r="AI445" s="133"/>
      <c r="AJ445" s="133"/>
      <c r="AK445" s="133"/>
      <c r="AL445" s="133"/>
      <c r="AM445" s="133"/>
      <c r="AN445" s="133"/>
      <c r="AO445" s="133"/>
      <c r="AP445" s="133"/>
      <c r="AQ445" s="133"/>
      <c r="AR445" s="133"/>
      <c r="AS445" s="133"/>
      <c r="AT445" s="133"/>
      <c r="AU445" s="133"/>
      <c r="AV445" s="133"/>
      <c r="AW445" s="133"/>
      <c r="AX445" s="133"/>
      <c r="AY445" s="133"/>
      <c r="AZ445" s="133"/>
      <c r="BA445" s="133"/>
      <c r="BB445" s="133"/>
      <c r="BC445" s="133"/>
      <c r="BD445" s="133"/>
      <c r="BE445" s="133"/>
      <c r="BF445" s="133"/>
      <c r="BG445" s="133"/>
      <c r="BH445" s="133"/>
      <c r="BI445" s="133"/>
      <c r="BJ445" s="133"/>
      <c r="BK445" s="133"/>
      <c r="BL445" s="133"/>
      <c r="BM445" s="133"/>
      <c r="BN445" s="133"/>
      <c r="BO445" s="133"/>
      <c r="BP445" s="133"/>
      <c r="BQ445" s="133"/>
      <c r="BR445" s="133"/>
      <c r="BS445" s="133"/>
      <c r="BT445" s="133"/>
      <c r="BU445" s="133"/>
    </row>
    <row r="446" spans="15:73"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  <c r="AH446" s="133"/>
      <c r="AI446" s="133"/>
      <c r="AJ446" s="133"/>
      <c r="AK446" s="133"/>
      <c r="AL446" s="133"/>
      <c r="AM446" s="133"/>
      <c r="AN446" s="133"/>
      <c r="AO446" s="133"/>
      <c r="AP446" s="133"/>
      <c r="AQ446" s="133"/>
      <c r="AR446" s="133"/>
      <c r="AS446" s="133"/>
      <c r="AT446" s="133"/>
      <c r="AU446" s="133"/>
      <c r="AV446" s="133"/>
      <c r="AW446" s="133"/>
      <c r="AX446" s="133"/>
      <c r="AY446" s="133"/>
      <c r="AZ446" s="133"/>
      <c r="BA446" s="133"/>
      <c r="BB446" s="133"/>
      <c r="BC446" s="133"/>
      <c r="BD446" s="133"/>
      <c r="BE446" s="133"/>
      <c r="BF446" s="133"/>
      <c r="BG446" s="133"/>
      <c r="BH446" s="133"/>
      <c r="BI446" s="133"/>
      <c r="BJ446" s="133"/>
      <c r="BK446" s="133"/>
      <c r="BL446" s="133"/>
      <c r="BM446" s="133"/>
      <c r="BN446" s="133"/>
      <c r="BO446" s="133"/>
      <c r="BP446" s="133"/>
      <c r="BQ446" s="133"/>
      <c r="BR446" s="133"/>
      <c r="BS446" s="133"/>
      <c r="BT446" s="133"/>
      <c r="BU446" s="133"/>
    </row>
    <row r="447" spans="15:73"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  <c r="AH447" s="133"/>
      <c r="AI447" s="133"/>
      <c r="AJ447" s="133"/>
      <c r="AK447" s="133"/>
      <c r="AL447" s="133"/>
      <c r="AM447" s="133"/>
      <c r="AN447" s="133"/>
      <c r="AO447" s="133"/>
      <c r="AP447" s="133"/>
      <c r="AQ447" s="133"/>
      <c r="AR447" s="133"/>
      <c r="AS447" s="133"/>
      <c r="AT447" s="133"/>
      <c r="AU447" s="133"/>
      <c r="AV447" s="133"/>
      <c r="AW447" s="133"/>
      <c r="AX447" s="133"/>
      <c r="AY447" s="133"/>
      <c r="AZ447" s="133"/>
      <c r="BA447" s="133"/>
      <c r="BB447" s="133"/>
      <c r="BC447" s="133"/>
      <c r="BD447" s="133"/>
      <c r="BE447" s="133"/>
      <c r="BF447" s="133"/>
      <c r="BG447" s="133"/>
      <c r="BH447" s="133"/>
      <c r="BI447" s="133"/>
      <c r="BJ447" s="133"/>
      <c r="BK447" s="133"/>
      <c r="BL447" s="133"/>
      <c r="BM447" s="133"/>
      <c r="BN447" s="133"/>
      <c r="BO447" s="133"/>
      <c r="BP447" s="133"/>
      <c r="BQ447" s="133"/>
      <c r="BR447" s="133"/>
      <c r="BS447" s="133"/>
      <c r="BT447" s="133"/>
      <c r="BU447" s="133"/>
    </row>
    <row r="448" spans="15:73"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  <c r="AH448" s="133"/>
      <c r="AI448" s="133"/>
      <c r="AJ448" s="133"/>
      <c r="AK448" s="133"/>
      <c r="AL448" s="133"/>
      <c r="AM448" s="133"/>
      <c r="AN448" s="133"/>
      <c r="AO448" s="133"/>
      <c r="AP448" s="133"/>
      <c r="AQ448" s="133"/>
      <c r="AR448" s="133"/>
      <c r="AS448" s="133"/>
      <c r="AT448" s="133"/>
      <c r="AU448" s="133"/>
      <c r="AV448" s="133"/>
      <c r="AW448" s="133"/>
      <c r="AX448" s="133"/>
      <c r="AY448" s="133"/>
      <c r="AZ448" s="133"/>
      <c r="BA448" s="133"/>
      <c r="BB448" s="133"/>
      <c r="BC448" s="133"/>
      <c r="BD448" s="133"/>
      <c r="BE448" s="133"/>
      <c r="BF448" s="133"/>
      <c r="BG448" s="133"/>
      <c r="BH448" s="133"/>
      <c r="BI448" s="133"/>
      <c r="BJ448" s="133"/>
      <c r="BK448" s="133"/>
      <c r="BL448" s="133"/>
      <c r="BM448" s="133"/>
      <c r="BN448" s="133"/>
      <c r="BO448" s="133"/>
      <c r="BP448" s="133"/>
      <c r="BQ448" s="133"/>
      <c r="BR448" s="133"/>
      <c r="BS448" s="133"/>
      <c r="BT448" s="133"/>
      <c r="BU448" s="133"/>
    </row>
    <row r="449" spans="15:73"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  <c r="AH449" s="133"/>
      <c r="AI449" s="133"/>
      <c r="AJ449" s="133"/>
      <c r="AK449" s="133"/>
      <c r="AL449" s="133"/>
      <c r="AM449" s="133"/>
      <c r="AN449" s="133"/>
      <c r="AO449" s="133"/>
      <c r="AP449" s="133"/>
      <c r="AQ449" s="133"/>
      <c r="AR449" s="133"/>
      <c r="AS449" s="133"/>
      <c r="AT449" s="133"/>
      <c r="AU449" s="133"/>
      <c r="AV449" s="133"/>
      <c r="AW449" s="133"/>
      <c r="AX449" s="133"/>
      <c r="AY449" s="133"/>
      <c r="AZ449" s="133"/>
      <c r="BA449" s="133"/>
      <c r="BB449" s="133"/>
      <c r="BC449" s="133"/>
      <c r="BD449" s="133"/>
      <c r="BE449" s="133"/>
      <c r="BF449" s="133"/>
      <c r="BG449" s="133"/>
      <c r="BH449" s="133"/>
      <c r="BI449" s="133"/>
      <c r="BJ449" s="133"/>
      <c r="BK449" s="133"/>
      <c r="BL449" s="133"/>
      <c r="BM449" s="133"/>
      <c r="BN449" s="133"/>
      <c r="BO449" s="133"/>
      <c r="BP449" s="133"/>
      <c r="BQ449" s="133"/>
      <c r="BR449" s="133"/>
      <c r="BS449" s="133"/>
      <c r="BT449" s="133"/>
      <c r="BU449" s="133"/>
    </row>
    <row r="450" spans="15:73"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  <c r="AH450" s="133"/>
      <c r="AI450" s="133"/>
      <c r="AJ450" s="133"/>
      <c r="AK450" s="133"/>
      <c r="AL450" s="133"/>
      <c r="AM450" s="133"/>
      <c r="AN450" s="133"/>
      <c r="AO450" s="133"/>
      <c r="AP450" s="133"/>
      <c r="AQ450" s="133"/>
      <c r="AR450" s="133"/>
      <c r="AS450" s="133"/>
      <c r="AT450" s="133"/>
      <c r="AU450" s="133"/>
      <c r="AV450" s="133"/>
      <c r="AW450" s="133"/>
      <c r="AX450" s="133"/>
      <c r="AY450" s="133"/>
      <c r="AZ450" s="133"/>
      <c r="BA450" s="133"/>
      <c r="BB450" s="133"/>
      <c r="BC450" s="133"/>
      <c r="BD450" s="133"/>
      <c r="BE450" s="133"/>
      <c r="BF450" s="133"/>
      <c r="BG450" s="133"/>
      <c r="BH450" s="133"/>
      <c r="BI450" s="133"/>
      <c r="BJ450" s="133"/>
      <c r="BK450" s="133"/>
      <c r="BL450" s="133"/>
      <c r="BM450" s="133"/>
      <c r="BN450" s="133"/>
      <c r="BO450" s="133"/>
      <c r="BP450" s="133"/>
      <c r="BQ450" s="133"/>
      <c r="BR450" s="133"/>
      <c r="BS450" s="133"/>
      <c r="BT450" s="133"/>
      <c r="BU450" s="133"/>
    </row>
    <row r="451" spans="15:73"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  <c r="AH451" s="133"/>
      <c r="AI451" s="133"/>
      <c r="AJ451" s="133"/>
      <c r="AK451" s="133"/>
      <c r="AL451" s="133"/>
      <c r="AM451" s="133"/>
      <c r="AN451" s="133"/>
      <c r="AO451" s="133"/>
      <c r="AP451" s="133"/>
      <c r="AQ451" s="133"/>
      <c r="AR451" s="133"/>
      <c r="AS451" s="133"/>
      <c r="AT451" s="133"/>
      <c r="AU451" s="133"/>
      <c r="AV451" s="133"/>
      <c r="AW451" s="133"/>
      <c r="AX451" s="133"/>
      <c r="AY451" s="133"/>
      <c r="AZ451" s="133"/>
      <c r="BA451" s="133"/>
      <c r="BB451" s="133"/>
      <c r="BC451" s="133"/>
      <c r="BD451" s="133"/>
      <c r="BE451" s="133"/>
      <c r="BF451" s="133"/>
      <c r="BG451" s="133"/>
      <c r="BH451" s="133"/>
      <c r="BI451" s="133"/>
      <c r="BJ451" s="133"/>
      <c r="BK451" s="133"/>
      <c r="BL451" s="133"/>
      <c r="BM451" s="133"/>
      <c r="BN451" s="133"/>
      <c r="BO451" s="133"/>
      <c r="BP451" s="133"/>
      <c r="BQ451" s="133"/>
      <c r="BR451" s="133"/>
      <c r="BS451" s="133"/>
      <c r="BT451" s="133"/>
      <c r="BU451" s="133"/>
    </row>
    <row r="452" spans="15:73"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  <c r="AH452" s="133"/>
      <c r="AI452" s="133"/>
      <c r="AJ452" s="133"/>
      <c r="AK452" s="133"/>
      <c r="AL452" s="133"/>
      <c r="AM452" s="133"/>
      <c r="AN452" s="133"/>
      <c r="AO452" s="133"/>
      <c r="AP452" s="133"/>
      <c r="AQ452" s="133"/>
      <c r="AR452" s="133"/>
      <c r="AS452" s="133"/>
      <c r="AT452" s="133"/>
      <c r="AU452" s="133"/>
      <c r="AV452" s="133"/>
      <c r="AW452" s="133"/>
      <c r="AX452" s="133"/>
      <c r="AY452" s="133"/>
      <c r="AZ452" s="133"/>
      <c r="BA452" s="133"/>
      <c r="BB452" s="133"/>
      <c r="BC452" s="133"/>
      <c r="BD452" s="133"/>
      <c r="BE452" s="133"/>
      <c r="BF452" s="133"/>
      <c r="BG452" s="133"/>
      <c r="BH452" s="133"/>
      <c r="BI452" s="133"/>
      <c r="BJ452" s="133"/>
      <c r="BK452" s="133"/>
      <c r="BL452" s="133"/>
      <c r="BM452" s="133"/>
      <c r="BN452" s="133"/>
      <c r="BO452" s="133"/>
      <c r="BP452" s="133"/>
      <c r="BQ452" s="133"/>
      <c r="BR452" s="133"/>
      <c r="BS452" s="133"/>
      <c r="BT452" s="133"/>
      <c r="BU452" s="133"/>
    </row>
    <row r="453" spans="15:73"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  <c r="AH453" s="133"/>
      <c r="AI453" s="133"/>
      <c r="AJ453" s="133"/>
      <c r="AK453" s="133"/>
      <c r="AL453" s="133"/>
      <c r="AM453" s="133"/>
      <c r="AN453" s="133"/>
      <c r="AO453" s="133"/>
      <c r="AP453" s="133"/>
      <c r="AQ453" s="133"/>
      <c r="AR453" s="133"/>
      <c r="AS453" s="133"/>
      <c r="AT453" s="133"/>
      <c r="AU453" s="133"/>
      <c r="AV453" s="133"/>
      <c r="AW453" s="133"/>
      <c r="AX453" s="133"/>
      <c r="AY453" s="133"/>
      <c r="AZ453" s="133"/>
      <c r="BA453" s="133"/>
      <c r="BB453" s="133"/>
      <c r="BC453" s="133"/>
      <c r="BD453" s="133"/>
      <c r="BE453" s="133"/>
      <c r="BF453" s="133"/>
      <c r="BG453" s="133"/>
      <c r="BH453" s="133"/>
      <c r="BI453" s="133"/>
      <c r="BJ453" s="133"/>
      <c r="BK453" s="133"/>
      <c r="BL453" s="133"/>
      <c r="BM453" s="133"/>
      <c r="BN453" s="133"/>
      <c r="BO453" s="133"/>
      <c r="BP453" s="133"/>
      <c r="BQ453" s="133"/>
      <c r="BR453" s="133"/>
      <c r="BS453" s="133"/>
      <c r="BT453" s="133"/>
      <c r="BU453" s="133"/>
    </row>
    <row r="454" spans="15:73"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  <c r="AH454" s="133"/>
      <c r="AI454" s="133"/>
      <c r="AJ454" s="133"/>
      <c r="AK454" s="133"/>
      <c r="AL454" s="133"/>
      <c r="AM454" s="133"/>
      <c r="AN454" s="133"/>
      <c r="AO454" s="133"/>
      <c r="AP454" s="133"/>
      <c r="AQ454" s="133"/>
      <c r="AR454" s="133"/>
      <c r="AS454" s="133"/>
      <c r="AT454" s="133"/>
      <c r="AU454" s="133"/>
      <c r="AV454" s="133"/>
      <c r="AW454" s="133"/>
      <c r="AX454" s="133"/>
      <c r="AY454" s="133"/>
      <c r="AZ454" s="133"/>
      <c r="BA454" s="133"/>
      <c r="BB454" s="133"/>
      <c r="BC454" s="133"/>
      <c r="BD454" s="133"/>
      <c r="BE454" s="133"/>
      <c r="BF454" s="133"/>
      <c r="BG454" s="133"/>
      <c r="BH454" s="133"/>
      <c r="BI454" s="133"/>
      <c r="BJ454" s="133"/>
      <c r="BK454" s="133"/>
      <c r="BL454" s="133"/>
      <c r="BM454" s="133"/>
      <c r="BN454" s="133"/>
      <c r="BO454" s="133"/>
      <c r="BP454" s="133"/>
      <c r="BQ454" s="133"/>
      <c r="BR454" s="133"/>
      <c r="BS454" s="133"/>
      <c r="BT454" s="133"/>
      <c r="BU454" s="133"/>
    </row>
    <row r="455" spans="15:73"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  <c r="AH455" s="133"/>
      <c r="AI455" s="133"/>
      <c r="AJ455" s="133"/>
      <c r="AK455" s="133"/>
      <c r="AL455" s="133"/>
      <c r="AM455" s="133"/>
      <c r="AN455" s="133"/>
      <c r="AO455" s="133"/>
      <c r="AP455" s="133"/>
      <c r="AQ455" s="133"/>
      <c r="AR455" s="133"/>
      <c r="AS455" s="133"/>
      <c r="AT455" s="133"/>
      <c r="AU455" s="133"/>
      <c r="AV455" s="133"/>
      <c r="AW455" s="133"/>
      <c r="AX455" s="133"/>
      <c r="AY455" s="133"/>
      <c r="AZ455" s="133"/>
      <c r="BA455" s="133"/>
      <c r="BB455" s="133"/>
      <c r="BC455" s="133"/>
      <c r="BD455" s="133"/>
      <c r="BE455" s="133"/>
      <c r="BF455" s="133"/>
      <c r="BG455" s="133"/>
      <c r="BH455" s="133"/>
      <c r="BI455" s="133"/>
      <c r="BJ455" s="133"/>
      <c r="BK455" s="133"/>
      <c r="BL455" s="133"/>
      <c r="BM455" s="133"/>
      <c r="BN455" s="133"/>
      <c r="BO455" s="133"/>
      <c r="BP455" s="133"/>
      <c r="BQ455" s="133"/>
      <c r="BR455" s="133"/>
      <c r="BS455" s="133"/>
      <c r="BT455" s="133"/>
      <c r="BU455" s="133"/>
    </row>
    <row r="456" spans="15:73"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  <c r="AH456" s="133"/>
      <c r="AI456" s="133"/>
      <c r="AJ456" s="133"/>
      <c r="AK456" s="133"/>
      <c r="AL456" s="133"/>
      <c r="AM456" s="133"/>
      <c r="AN456" s="133"/>
      <c r="AO456" s="133"/>
      <c r="AP456" s="133"/>
      <c r="AQ456" s="133"/>
      <c r="AR456" s="133"/>
      <c r="AS456" s="133"/>
      <c r="AT456" s="133"/>
      <c r="AU456" s="133"/>
      <c r="AV456" s="133"/>
      <c r="AW456" s="133"/>
      <c r="AX456" s="133"/>
      <c r="AY456" s="133"/>
      <c r="AZ456" s="133"/>
      <c r="BA456" s="133"/>
      <c r="BB456" s="133"/>
      <c r="BC456" s="133"/>
      <c r="BD456" s="133"/>
      <c r="BE456" s="133"/>
      <c r="BF456" s="133"/>
      <c r="BG456" s="133"/>
      <c r="BH456" s="133"/>
      <c r="BI456" s="133"/>
      <c r="BJ456" s="133"/>
      <c r="BK456" s="133"/>
      <c r="BL456" s="133"/>
      <c r="BM456" s="133"/>
      <c r="BN456" s="133"/>
      <c r="BO456" s="133"/>
      <c r="BP456" s="133"/>
      <c r="BQ456" s="133"/>
      <c r="BR456" s="133"/>
      <c r="BS456" s="133"/>
      <c r="BT456" s="133"/>
      <c r="BU456" s="133"/>
    </row>
    <row r="457" spans="15:73"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  <c r="AH457" s="133"/>
      <c r="AI457" s="133"/>
      <c r="AJ457" s="133"/>
      <c r="AK457" s="133"/>
      <c r="AL457" s="133"/>
      <c r="AM457" s="133"/>
      <c r="AN457" s="133"/>
      <c r="AO457" s="133"/>
      <c r="AP457" s="133"/>
      <c r="AQ457" s="133"/>
      <c r="AR457" s="133"/>
      <c r="AS457" s="133"/>
      <c r="AT457" s="133"/>
      <c r="AU457" s="133"/>
      <c r="AV457" s="133"/>
      <c r="AW457" s="133"/>
      <c r="AX457" s="133"/>
      <c r="AY457" s="133"/>
      <c r="AZ457" s="133"/>
      <c r="BA457" s="133"/>
      <c r="BB457" s="133"/>
      <c r="BC457" s="133"/>
      <c r="BD457" s="133"/>
      <c r="BE457" s="133"/>
      <c r="BF457" s="133"/>
      <c r="BG457" s="133"/>
      <c r="BH457" s="133"/>
      <c r="BI457" s="133"/>
      <c r="BJ457" s="133"/>
      <c r="BK457" s="133"/>
      <c r="BL457" s="133"/>
      <c r="BM457" s="133"/>
      <c r="BN457" s="133"/>
      <c r="BO457" s="133"/>
      <c r="BP457" s="133"/>
      <c r="BQ457" s="133"/>
      <c r="BR457" s="133"/>
      <c r="BS457" s="133"/>
      <c r="BT457" s="133"/>
      <c r="BU457" s="133"/>
    </row>
    <row r="458" spans="15:73"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  <c r="AH458" s="133"/>
      <c r="AI458" s="133"/>
      <c r="AJ458" s="133"/>
      <c r="AK458" s="133"/>
      <c r="AL458" s="133"/>
      <c r="AM458" s="133"/>
      <c r="AN458" s="133"/>
      <c r="AO458" s="133"/>
      <c r="AP458" s="133"/>
      <c r="AQ458" s="133"/>
      <c r="AR458" s="133"/>
      <c r="AS458" s="133"/>
      <c r="AT458" s="133"/>
      <c r="AU458" s="133"/>
      <c r="AV458" s="133"/>
      <c r="AW458" s="133"/>
      <c r="AX458" s="133"/>
      <c r="AY458" s="133"/>
      <c r="AZ458" s="133"/>
      <c r="BA458" s="133"/>
      <c r="BB458" s="133"/>
      <c r="BC458" s="133"/>
      <c r="BD458" s="133"/>
      <c r="BE458" s="133"/>
      <c r="BF458" s="133"/>
      <c r="BG458" s="133"/>
      <c r="BH458" s="133"/>
      <c r="BI458" s="133"/>
      <c r="BJ458" s="133"/>
      <c r="BK458" s="133"/>
      <c r="BL458" s="133"/>
      <c r="BM458" s="133"/>
      <c r="BN458" s="133"/>
      <c r="BO458" s="133"/>
      <c r="BP458" s="133"/>
      <c r="BQ458" s="133"/>
      <c r="BR458" s="133"/>
      <c r="BS458" s="133"/>
      <c r="BT458" s="133"/>
      <c r="BU458" s="133"/>
    </row>
    <row r="459" spans="15:73"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  <c r="AH459" s="133"/>
      <c r="AI459" s="133"/>
      <c r="AJ459" s="133"/>
      <c r="AK459" s="133"/>
      <c r="AL459" s="133"/>
      <c r="AM459" s="133"/>
      <c r="AN459" s="133"/>
      <c r="AO459" s="133"/>
      <c r="AP459" s="133"/>
      <c r="AQ459" s="133"/>
      <c r="AR459" s="133"/>
      <c r="AS459" s="133"/>
      <c r="AT459" s="133"/>
      <c r="AU459" s="133"/>
      <c r="AV459" s="133"/>
      <c r="AW459" s="133"/>
      <c r="AX459" s="133"/>
      <c r="AY459" s="133"/>
      <c r="AZ459" s="133"/>
      <c r="BA459" s="133"/>
      <c r="BB459" s="133"/>
      <c r="BC459" s="133"/>
      <c r="BD459" s="133"/>
      <c r="BE459" s="133"/>
      <c r="BF459" s="133"/>
      <c r="BG459" s="133"/>
      <c r="BH459" s="133"/>
      <c r="BI459" s="133"/>
      <c r="BJ459" s="133"/>
      <c r="BK459" s="133"/>
      <c r="BL459" s="133"/>
      <c r="BM459" s="133"/>
      <c r="BN459" s="133"/>
      <c r="BO459" s="133"/>
      <c r="BP459" s="133"/>
      <c r="BQ459" s="133"/>
      <c r="BR459" s="133"/>
      <c r="BS459" s="133"/>
      <c r="BT459" s="133"/>
      <c r="BU459" s="133"/>
    </row>
    <row r="460" spans="15:73"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  <c r="AH460" s="133"/>
      <c r="AI460" s="133"/>
      <c r="AJ460" s="133"/>
      <c r="AK460" s="133"/>
      <c r="AL460" s="133"/>
      <c r="AM460" s="133"/>
      <c r="AN460" s="133"/>
      <c r="AO460" s="133"/>
      <c r="AP460" s="133"/>
      <c r="AQ460" s="133"/>
      <c r="AR460" s="133"/>
      <c r="AS460" s="133"/>
      <c r="AT460" s="133"/>
      <c r="AU460" s="133"/>
      <c r="AV460" s="133"/>
      <c r="AW460" s="133"/>
      <c r="AX460" s="133"/>
      <c r="AY460" s="133"/>
      <c r="AZ460" s="133"/>
      <c r="BA460" s="133"/>
      <c r="BB460" s="133"/>
      <c r="BC460" s="133"/>
      <c r="BD460" s="133"/>
      <c r="BE460" s="133"/>
      <c r="BF460" s="133"/>
      <c r="BG460" s="133"/>
      <c r="BH460" s="133"/>
      <c r="BI460" s="133"/>
      <c r="BJ460" s="133"/>
      <c r="BK460" s="133"/>
      <c r="BL460" s="133"/>
      <c r="BM460" s="133"/>
      <c r="BN460" s="133"/>
      <c r="BO460" s="133"/>
      <c r="BP460" s="133"/>
      <c r="BQ460" s="133"/>
      <c r="BR460" s="133"/>
      <c r="BS460" s="133"/>
      <c r="BT460" s="133"/>
      <c r="BU460" s="133"/>
    </row>
    <row r="461" spans="15:73"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  <c r="AH461" s="133"/>
      <c r="AI461" s="133"/>
      <c r="AJ461" s="133"/>
      <c r="AK461" s="133"/>
      <c r="AL461" s="133"/>
      <c r="AM461" s="133"/>
      <c r="AN461" s="133"/>
      <c r="AO461" s="133"/>
      <c r="AP461" s="133"/>
      <c r="AQ461" s="133"/>
      <c r="AR461" s="133"/>
      <c r="AS461" s="133"/>
      <c r="AT461" s="133"/>
      <c r="AU461" s="133"/>
      <c r="AV461" s="133"/>
      <c r="AW461" s="133"/>
      <c r="AX461" s="133"/>
      <c r="AY461" s="133"/>
      <c r="AZ461" s="133"/>
      <c r="BA461" s="133"/>
      <c r="BB461" s="133"/>
      <c r="BC461" s="133"/>
      <c r="BD461" s="133"/>
      <c r="BE461" s="133"/>
      <c r="BF461" s="133"/>
      <c r="BG461" s="133"/>
      <c r="BH461" s="133"/>
      <c r="BI461" s="133"/>
      <c r="BJ461" s="133"/>
      <c r="BK461" s="133"/>
      <c r="BL461" s="133"/>
      <c r="BM461" s="133"/>
      <c r="BN461" s="133"/>
      <c r="BO461" s="133"/>
      <c r="BP461" s="133"/>
      <c r="BQ461" s="133"/>
      <c r="BR461" s="133"/>
      <c r="BS461" s="133"/>
      <c r="BT461" s="133"/>
      <c r="BU461" s="133"/>
    </row>
    <row r="462" spans="15:73"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  <c r="AH462" s="133"/>
      <c r="AI462" s="133"/>
      <c r="AJ462" s="133"/>
      <c r="AK462" s="133"/>
      <c r="AL462" s="133"/>
      <c r="AM462" s="133"/>
      <c r="AN462" s="133"/>
      <c r="AO462" s="133"/>
      <c r="AP462" s="133"/>
      <c r="AQ462" s="133"/>
      <c r="AR462" s="133"/>
      <c r="AS462" s="133"/>
      <c r="AT462" s="133"/>
      <c r="AU462" s="133"/>
      <c r="AV462" s="133"/>
      <c r="AW462" s="133"/>
      <c r="AX462" s="133"/>
      <c r="AY462" s="133"/>
      <c r="AZ462" s="133"/>
      <c r="BA462" s="133"/>
      <c r="BB462" s="133"/>
      <c r="BC462" s="133"/>
      <c r="BD462" s="133"/>
      <c r="BE462" s="133"/>
      <c r="BF462" s="133"/>
      <c r="BG462" s="133"/>
      <c r="BH462" s="133"/>
      <c r="BI462" s="133"/>
      <c r="BJ462" s="133"/>
      <c r="BK462" s="133"/>
      <c r="BL462" s="133"/>
      <c r="BM462" s="133"/>
      <c r="BN462" s="133"/>
      <c r="BO462" s="133"/>
      <c r="BP462" s="133"/>
      <c r="BQ462" s="133"/>
      <c r="BR462" s="133"/>
      <c r="BS462" s="133"/>
      <c r="BT462" s="133"/>
      <c r="BU462" s="133"/>
    </row>
    <row r="463" spans="15:73"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  <c r="AH463" s="133"/>
      <c r="AI463" s="133"/>
      <c r="AJ463" s="133"/>
      <c r="AK463" s="133"/>
      <c r="AL463" s="133"/>
      <c r="AM463" s="133"/>
      <c r="AN463" s="133"/>
      <c r="AO463" s="133"/>
      <c r="AP463" s="133"/>
      <c r="AQ463" s="133"/>
      <c r="AR463" s="133"/>
      <c r="AS463" s="133"/>
      <c r="AT463" s="133"/>
      <c r="AU463" s="133"/>
      <c r="AV463" s="133"/>
      <c r="AW463" s="133"/>
      <c r="AX463" s="133"/>
      <c r="AY463" s="133"/>
      <c r="AZ463" s="133"/>
      <c r="BA463" s="133"/>
      <c r="BB463" s="133"/>
      <c r="BC463" s="133"/>
      <c r="BD463" s="133"/>
      <c r="BE463" s="133"/>
      <c r="BF463" s="133"/>
      <c r="BG463" s="133"/>
      <c r="BH463" s="133"/>
      <c r="BI463" s="133"/>
      <c r="BJ463" s="133"/>
      <c r="BK463" s="133"/>
      <c r="BL463" s="133"/>
      <c r="BM463" s="133"/>
      <c r="BN463" s="133"/>
      <c r="BO463" s="133"/>
      <c r="BP463" s="133"/>
      <c r="BQ463" s="133"/>
      <c r="BR463" s="133"/>
      <c r="BS463" s="133"/>
      <c r="BT463" s="133"/>
      <c r="BU463" s="133"/>
    </row>
    <row r="464" spans="15:73"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  <c r="AH464" s="133"/>
      <c r="AI464" s="133"/>
      <c r="AJ464" s="133"/>
      <c r="AK464" s="133"/>
      <c r="AL464" s="133"/>
      <c r="AM464" s="133"/>
      <c r="AN464" s="133"/>
      <c r="AO464" s="133"/>
      <c r="AP464" s="133"/>
      <c r="AQ464" s="133"/>
      <c r="AR464" s="133"/>
      <c r="AS464" s="133"/>
      <c r="AT464" s="133"/>
      <c r="AU464" s="133"/>
      <c r="AV464" s="133"/>
      <c r="AW464" s="133"/>
      <c r="AX464" s="133"/>
      <c r="AY464" s="133"/>
      <c r="AZ464" s="133"/>
      <c r="BA464" s="133"/>
      <c r="BB464" s="133"/>
      <c r="BC464" s="133"/>
      <c r="BD464" s="133"/>
      <c r="BE464" s="133"/>
      <c r="BF464" s="133"/>
      <c r="BG464" s="133"/>
      <c r="BH464" s="133"/>
      <c r="BI464" s="133"/>
      <c r="BJ464" s="133"/>
      <c r="BK464" s="133"/>
      <c r="BL464" s="133"/>
      <c r="BM464" s="133"/>
      <c r="BN464" s="133"/>
      <c r="BO464" s="133"/>
      <c r="BP464" s="133"/>
      <c r="BQ464" s="133"/>
      <c r="BR464" s="133"/>
      <c r="BS464" s="133"/>
      <c r="BT464" s="133"/>
      <c r="BU464" s="133"/>
    </row>
    <row r="465" spans="15:73"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  <c r="AH465" s="133"/>
      <c r="AI465" s="133"/>
      <c r="AJ465" s="133"/>
      <c r="AK465" s="133"/>
      <c r="AL465" s="133"/>
      <c r="AM465" s="133"/>
      <c r="AN465" s="133"/>
      <c r="AO465" s="133"/>
      <c r="AP465" s="133"/>
      <c r="AQ465" s="133"/>
      <c r="AR465" s="133"/>
      <c r="AS465" s="133"/>
      <c r="AT465" s="133"/>
      <c r="AU465" s="133"/>
      <c r="AV465" s="133"/>
      <c r="AW465" s="133"/>
      <c r="AX465" s="133"/>
      <c r="AY465" s="133"/>
      <c r="AZ465" s="133"/>
      <c r="BA465" s="133"/>
      <c r="BB465" s="133"/>
      <c r="BC465" s="133"/>
      <c r="BD465" s="133"/>
      <c r="BE465" s="133"/>
      <c r="BF465" s="133"/>
      <c r="BG465" s="133"/>
      <c r="BH465" s="133"/>
      <c r="BI465" s="133"/>
      <c r="BJ465" s="133"/>
      <c r="BK465" s="133"/>
      <c r="BL465" s="133"/>
      <c r="BM465" s="133"/>
      <c r="BN465" s="133"/>
      <c r="BO465" s="133"/>
      <c r="BP465" s="133"/>
      <c r="BQ465" s="133"/>
      <c r="BR465" s="133"/>
      <c r="BS465" s="133"/>
      <c r="BT465" s="133"/>
      <c r="BU465" s="133"/>
    </row>
    <row r="466" spans="15:73"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  <c r="AF466" s="133"/>
      <c r="AG466" s="133"/>
      <c r="AH466" s="133"/>
      <c r="AI466" s="133"/>
      <c r="AJ466" s="133"/>
      <c r="AK466" s="133"/>
      <c r="AL466" s="133"/>
      <c r="AM466" s="133"/>
      <c r="AN466" s="133"/>
      <c r="AO466" s="133"/>
      <c r="AP466" s="133"/>
      <c r="AQ466" s="133"/>
      <c r="AR466" s="133"/>
      <c r="AS466" s="133"/>
      <c r="AT466" s="133"/>
      <c r="AU466" s="133"/>
      <c r="AV466" s="133"/>
      <c r="AW466" s="133"/>
      <c r="AX466" s="133"/>
      <c r="AY466" s="133"/>
      <c r="AZ466" s="133"/>
      <c r="BA466" s="133"/>
      <c r="BB466" s="133"/>
      <c r="BC466" s="133"/>
      <c r="BD466" s="133"/>
      <c r="BE466" s="133"/>
      <c r="BF466" s="133"/>
      <c r="BG466" s="133"/>
      <c r="BH466" s="133"/>
      <c r="BI466" s="133"/>
      <c r="BJ466" s="133"/>
      <c r="BK466" s="133"/>
      <c r="BL466" s="133"/>
      <c r="BM466" s="133"/>
      <c r="BN466" s="133"/>
      <c r="BO466" s="133"/>
      <c r="BP466" s="133"/>
      <c r="BQ466" s="133"/>
      <c r="BR466" s="133"/>
      <c r="BS466" s="133"/>
      <c r="BT466" s="133"/>
      <c r="BU466" s="133"/>
    </row>
    <row r="467" spans="15:73"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  <c r="AF467" s="133"/>
      <c r="AG467" s="133"/>
      <c r="AH467" s="133"/>
      <c r="AI467" s="133"/>
      <c r="AJ467" s="133"/>
      <c r="AK467" s="133"/>
      <c r="AL467" s="133"/>
      <c r="AM467" s="133"/>
      <c r="AN467" s="133"/>
      <c r="AO467" s="133"/>
      <c r="AP467" s="133"/>
      <c r="AQ467" s="133"/>
      <c r="AR467" s="133"/>
      <c r="AS467" s="133"/>
      <c r="AT467" s="133"/>
      <c r="AU467" s="133"/>
      <c r="AV467" s="133"/>
      <c r="AW467" s="133"/>
      <c r="AX467" s="133"/>
      <c r="AY467" s="133"/>
      <c r="AZ467" s="133"/>
      <c r="BA467" s="133"/>
      <c r="BB467" s="133"/>
      <c r="BC467" s="133"/>
      <c r="BD467" s="133"/>
      <c r="BE467" s="133"/>
      <c r="BF467" s="133"/>
      <c r="BG467" s="133"/>
      <c r="BH467" s="133"/>
      <c r="BI467" s="133"/>
      <c r="BJ467" s="133"/>
      <c r="BK467" s="133"/>
      <c r="BL467" s="133"/>
      <c r="BM467" s="133"/>
      <c r="BN467" s="133"/>
      <c r="BO467" s="133"/>
      <c r="BP467" s="133"/>
      <c r="BQ467" s="133"/>
      <c r="BR467" s="133"/>
      <c r="BS467" s="133"/>
      <c r="BT467" s="133"/>
      <c r="BU467" s="133"/>
    </row>
    <row r="468" spans="15:73"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  <c r="AF468" s="133"/>
      <c r="AG468" s="133"/>
      <c r="AH468" s="133"/>
      <c r="AI468" s="133"/>
      <c r="AJ468" s="133"/>
      <c r="AK468" s="133"/>
      <c r="AL468" s="133"/>
      <c r="AM468" s="133"/>
      <c r="AN468" s="133"/>
      <c r="AO468" s="133"/>
      <c r="AP468" s="133"/>
      <c r="AQ468" s="133"/>
      <c r="AR468" s="133"/>
      <c r="AS468" s="133"/>
      <c r="AT468" s="133"/>
      <c r="AU468" s="133"/>
      <c r="AV468" s="133"/>
      <c r="AW468" s="133"/>
      <c r="AX468" s="133"/>
      <c r="AY468" s="133"/>
      <c r="AZ468" s="133"/>
      <c r="BA468" s="133"/>
      <c r="BB468" s="133"/>
      <c r="BC468" s="133"/>
      <c r="BD468" s="133"/>
      <c r="BE468" s="133"/>
      <c r="BF468" s="133"/>
      <c r="BG468" s="133"/>
      <c r="BH468" s="133"/>
      <c r="BI468" s="133"/>
      <c r="BJ468" s="133"/>
      <c r="BK468" s="133"/>
      <c r="BL468" s="133"/>
      <c r="BM468" s="133"/>
      <c r="BN468" s="133"/>
      <c r="BO468" s="133"/>
      <c r="BP468" s="133"/>
      <c r="BQ468" s="133"/>
      <c r="BR468" s="133"/>
      <c r="BS468" s="133"/>
      <c r="BT468" s="133"/>
      <c r="BU468" s="133"/>
    </row>
    <row r="469" spans="15:73"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  <c r="AF469" s="133"/>
      <c r="AG469" s="133"/>
      <c r="AH469" s="133"/>
      <c r="AI469" s="133"/>
      <c r="AJ469" s="133"/>
      <c r="AK469" s="133"/>
      <c r="AL469" s="133"/>
      <c r="AM469" s="133"/>
      <c r="AN469" s="133"/>
      <c r="AO469" s="133"/>
      <c r="AP469" s="133"/>
      <c r="AQ469" s="133"/>
      <c r="AR469" s="133"/>
      <c r="AS469" s="133"/>
      <c r="AT469" s="133"/>
      <c r="AU469" s="133"/>
      <c r="AV469" s="133"/>
      <c r="AW469" s="133"/>
      <c r="AX469" s="133"/>
      <c r="AY469" s="133"/>
      <c r="AZ469" s="133"/>
      <c r="BA469" s="133"/>
      <c r="BB469" s="133"/>
      <c r="BC469" s="133"/>
      <c r="BD469" s="133"/>
      <c r="BE469" s="133"/>
      <c r="BF469" s="133"/>
      <c r="BG469" s="133"/>
      <c r="BH469" s="133"/>
      <c r="BI469" s="133"/>
      <c r="BJ469" s="133"/>
      <c r="BK469" s="133"/>
      <c r="BL469" s="133"/>
      <c r="BM469" s="133"/>
      <c r="BN469" s="133"/>
      <c r="BO469" s="133"/>
      <c r="BP469" s="133"/>
      <c r="BQ469" s="133"/>
      <c r="BR469" s="133"/>
      <c r="BS469" s="133"/>
      <c r="BT469" s="133"/>
      <c r="BU469" s="133"/>
    </row>
    <row r="470" spans="15:73"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  <c r="AF470" s="133"/>
      <c r="AG470" s="133"/>
      <c r="AH470" s="133"/>
      <c r="AI470" s="133"/>
      <c r="AJ470" s="133"/>
      <c r="AK470" s="133"/>
      <c r="AL470" s="133"/>
      <c r="AM470" s="133"/>
      <c r="AN470" s="133"/>
      <c r="AO470" s="133"/>
      <c r="AP470" s="133"/>
      <c r="AQ470" s="133"/>
      <c r="AR470" s="133"/>
      <c r="AS470" s="133"/>
      <c r="AT470" s="133"/>
      <c r="AU470" s="133"/>
      <c r="AV470" s="133"/>
      <c r="AW470" s="133"/>
      <c r="AX470" s="133"/>
      <c r="AY470" s="133"/>
      <c r="AZ470" s="133"/>
      <c r="BA470" s="133"/>
      <c r="BB470" s="133"/>
      <c r="BC470" s="133"/>
      <c r="BD470" s="133"/>
      <c r="BE470" s="133"/>
      <c r="BF470" s="133"/>
      <c r="BG470" s="133"/>
      <c r="BH470" s="133"/>
      <c r="BI470" s="133"/>
      <c r="BJ470" s="133"/>
      <c r="BK470" s="133"/>
      <c r="BL470" s="133"/>
      <c r="BM470" s="133"/>
      <c r="BN470" s="133"/>
      <c r="BO470" s="133"/>
      <c r="BP470" s="133"/>
      <c r="BQ470" s="133"/>
      <c r="BR470" s="133"/>
      <c r="BS470" s="133"/>
      <c r="BT470" s="133"/>
      <c r="BU470" s="133"/>
    </row>
    <row r="471" spans="15:73"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  <c r="AF471" s="133"/>
      <c r="AG471" s="133"/>
      <c r="AH471" s="133"/>
      <c r="AI471" s="133"/>
      <c r="AJ471" s="133"/>
      <c r="AK471" s="133"/>
      <c r="AL471" s="133"/>
      <c r="AM471" s="133"/>
      <c r="AN471" s="133"/>
      <c r="AO471" s="133"/>
      <c r="AP471" s="133"/>
      <c r="AQ471" s="133"/>
      <c r="AR471" s="133"/>
      <c r="AS471" s="133"/>
      <c r="AT471" s="133"/>
      <c r="AU471" s="133"/>
      <c r="AV471" s="133"/>
      <c r="AW471" s="133"/>
      <c r="AX471" s="133"/>
      <c r="AY471" s="133"/>
      <c r="AZ471" s="133"/>
      <c r="BA471" s="133"/>
      <c r="BB471" s="133"/>
      <c r="BC471" s="133"/>
      <c r="BD471" s="133"/>
      <c r="BE471" s="133"/>
      <c r="BF471" s="133"/>
      <c r="BG471" s="133"/>
      <c r="BH471" s="133"/>
      <c r="BI471" s="133"/>
      <c r="BJ471" s="133"/>
      <c r="BK471" s="133"/>
      <c r="BL471" s="133"/>
      <c r="BM471" s="133"/>
      <c r="BN471" s="133"/>
      <c r="BO471" s="133"/>
      <c r="BP471" s="133"/>
      <c r="BQ471" s="133"/>
      <c r="BR471" s="133"/>
      <c r="BS471" s="133"/>
      <c r="BT471" s="133"/>
      <c r="BU471" s="133"/>
    </row>
    <row r="472" spans="15:73"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  <c r="AF472" s="133"/>
      <c r="AG472" s="133"/>
      <c r="AH472" s="133"/>
      <c r="AI472" s="133"/>
      <c r="AJ472" s="133"/>
      <c r="AK472" s="133"/>
      <c r="AL472" s="133"/>
      <c r="AM472" s="133"/>
      <c r="AN472" s="133"/>
      <c r="AO472" s="133"/>
      <c r="AP472" s="133"/>
      <c r="AQ472" s="133"/>
      <c r="AR472" s="133"/>
      <c r="AS472" s="133"/>
      <c r="AT472" s="133"/>
      <c r="AU472" s="133"/>
      <c r="AV472" s="133"/>
      <c r="AW472" s="133"/>
      <c r="AX472" s="133"/>
      <c r="AY472" s="133"/>
      <c r="AZ472" s="133"/>
      <c r="BA472" s="133"/>
      <c r="BB472" s="133"/>
      <c r="BC472" s="133"/>
      <c r="BD472" s="133"/>
      <c r="BE472" s="133"/>
      <c r="BF472" s="133"/>
      <c r="BG472" s="133"/>
      <c r="BH472" s="133"/>
      <c r="BI472" s="133"/>
      <c r="BJ472" s="133"/>
      <c r="BK472" s="133"/>
      <c r="BL472" s="133"/>
      <c r="BM472" s="133"/>
      <c r="BN472" s="133"/>
      <c r="BO472" s="133"/>
      <c r="BP472" s="133"/>
      <c r="BQ472" s="133"/>
      <c r="BR472" s="133"/>
      <c r="BS472" s="133"/>
      <c r="BT472" s="133"/>
      <c r="BU472" s="133"/>
    </row>
    <row r="473" spans="15:73"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  <c r="AF473" s="133"/>
      <c r="AG473" s="133"/>
      <c r="AH473" s="133"/>
      <c r="AI473" s="133"/>
      <c r="AJ473" s="133"/>
      <c r="AK473" s="133"/>
      <c r="AL473" s="133"/>
      <c r="AM473" s="133"/>
      <c r="AN473" s="133"/>
      <c r="AO473" s="133"/>
      <c r="AP473" s="133"/>
      <c r="AQ473" s="133"/>
      <c r="AR473" s="133"/>
      <c r="AS473" s="133"/>
      <c r="AT473" s="133"/>
      <c r="AU473" s="133"/>
      <c r="AV473" s="133"/>
      <c r="AW473" s="133"/>
      <c r="AX473" s="133"/>
      <c r="AY473" s="133"/>
      <c r="AZ473" s="133"/>
      <c r="BA473" s="133"/>
      <c r="BB473" s="133"/>
      <c r="BC473" s="133"/>
      <c r="BD473" s="133"/>
      <c r="BE473" s="133"/>
      <c r="BF473" s="133"/>
      <c r="BG473" s="133"/>
      <c r="BH473" s="133"/>
      <c r="BI473" s="133"/>
      <c r="BJ473" s="133"/>
      <c r="BK473" s="133"/>
      <c r="BL473" s="133"/>
      <c r="BM473" s="133"/>
      <c r="BN473" s="133"/>
      <c r="BO473" s="133"/>
      <c r="BP473" s="133"/>
      <c r="BQ473" s="133"/>
      <c r="BR473" s="133"/>
      <c r="BS473" s="133"/>
      <c r="BT473" s="133"/>
      <c r="BU473" s="133"/>
    </row>
    <row r="474" spans="15:73"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  <c r="AF474" s="133"/>
      <c r="AG474" s="133"/>
      <c r="AH474" s="133"/>
      <c r="AI474" s="133"/>
      <c r="AJ474" s="133"/>
      <c r="AK474" s="133"/>
      <c r="AL474" s="133"/>
      <c r="AM474" s="133"/>
      <c r="AN474" s="133"/>
      <c r="AO474" s="133"/>
      <c r="AP474" s="133"/>
      <c r="AQ474" s="133"/>
      <c r="AR474" s="133"/>
      <c r="AS474" s="133"/>
      <c r="AT474" s="133"/>
      <c r="AU474" s="133"/>
      <c r="AV474" s="133"/>
      <c r="AW474" s="133"/>
      <c r="AX474" s="133"/>
      <c r="AY474" s="133"/>
      <c r="AZ474" s="133"/>
      <c r="BA474" s="133"/>
      <c r="BB474" s="133"/>
      <c r="BC474" s="133"/>
      <c r="BD474" s="133"/>
      <c r="BE474" s="133"/>
      <c r="BF474" s="133"/>
      <c r="BG474" s="133"/>
      <c r="BH474" s="133"/>
      <c r="BI474" s="133"/>
      <c r="BJ474" s="133"/>
      <c r="BK474" s="133"/>
      <c r="BL474" s="133"/>
      <c r="BM474" s="133"/>
      <c r="BN474" s="133"/>
      <c r="BO474" s="133"/>
      <c r="BP474" s="133"/>
      <c r="BQ474" s="133"/>
      <c r="BR474" s="133"/>
      <c r="BS474" s="133"/>
      <c r="BT474" s="133"/>
      <c r="BU474" s="133"/>
    </row>
    <row r="475" spans="15:73"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  <c r="AF475" s="133"/>
      <c r="AG475" s="133"/>
      <c r="AH475" s="133"/>
      <c r="AI475" s="133"/>
      <c r="AJ475" s="133"/>
      <c r="AK475" s="133"/>
      <c r="AL475" s="133"/>
      <c r="AM475" s="133"/>
      <c r="AN475" s="133"/>
      <c r="AO475" s="133"/>
      <c r="AP475" s="133"/>
      <c r="AQ475" s="133"/>
      <c r="AR475" s="133"/>
      <c r="AS475" s="133"/>
      <c r="AT475" s="133"/>
      <c r="AU475" s="133"/>
      <c r="AV475" s="133"/>
      <c r="AW475" s="133"/>
      <c r="AX475" s="133"/>
      <c r="AY475" s="133"/>
      <c r="AZ475" s="133"/>
      <c r="BA475" s="133"/>
      <c r="BB475" s="133"/>
      <c r="BC475" s="133"/>
      <c r="BD475" s="133"/>
      <c r="BE475" s="133"/>
      <c r="BF475" s="133"/>
      <c r="BG475" s="133"/>
      <c r="BH475" s="133"/>
      <c r="BI475" s="133"/>
      <c r="BJ475" s="133"/>
      <c r="BK475" s="133"/>
      <c r="BL475" s="133"/>
      <c r="BM475" s="133"/>
      <c r="BN475" s="133"/>
      <c r="BO475" s="133"/>
      <c r="BP475" s="133"/>
      <c r="BQ475" s="133"/>
      <c r="BR475" s="133"/>
      <c r="BS475" s="133"/>
      <c r="BT475" s="133"/>
      <c r="BU475" s="133"/>
    </row>
    <row r="476" spans="15:73"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  <c r="AF476" s="133"/>
      <c r="AG476" s="133"/>
      <c r="AH476" s="133"/>
      <c r="AI476" s="133"/>
      <c r="AJ476" s="133"/>
      <c r="AK476" s="133"/>
      <c r="AL476" s="133"/>
      <c r="AM476" s="133"/>
      <c r="AN476" s="133"/>
      <c r="AO476" s="133"/>
      <c r="AP476" s="133"/>
      <c r="AQ476" s="133"/>
      <c r="AR476" s="133"/>
      <c r="AS476" s="133"/>
      <c r="AT476" s="133"/>
      <c r="AU476" s="133"/>
      <c r="AV476" s="133"/>
      <c r="AW476" s="133"/>
      <c r="AX476" s="133"/>
      <c r="AY476" s="133"/>
      <c r="AZ476" s="133"/>
      <c r="BA476" s="133"/>
      <c r="BB476" s="133"/>
      <c r="BC476" s="133"/>
      <c r="BD476" s="133"/>
      <c r="BE476" s="133"/>
      <c r="BF476" s="133"/>
      <c r="BG476" s="133"/>
      <c r="BH476" s="133"/>
      <c r="BI476" s="133"/>
      <c r="BJ476" s="133"/>
      <c r="BK476" s="133"/>
      <c r="BL476" s="133"/>
      <c r="BM476" s="133"/>
      <c r="BN476" s="133"/>
      <c r="BO476" s="133"/>
      <c r="BP476" s="133"/>
      <c r="BQ476" s="133"/>
      <c r="BR476" s="133"/>
      <c r="BS476" s="133"/>
      <c r="BT476" s="133"/>
      <c r="BU476" s="133"/>
    </row>
    <row r="477" spans="15:73"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  <c r="AF477" s="133"/>
      <c r="AG477" s="133"/>
      <c r="AH477" s="133"/>
      <c r="AI477" s="133"/>
      <c r="AJ477" s="133"/>
      <c r="AK477" s="133"/>
      <c r="AL477" s="133"/>
      <c r="AM477" s="133"/>
      <c r="AN477" s="133"/>
      <c r="AO477" s="133"/>
      <c r="AP477" s="133"/>
      <c r="AQ477" s="133"/>
      <c r="AR477" s="133"/>
      <c r="AS477" s="133"/>
      <c r="AT477" s="133"/>
      <c r="AU477" s="133"/>
      <c r="AV477" s="133"/>
      <c r="AW477" s="133"/>
      <c r="AX477" s="133"/>
      <c r="AY477" s="133"/>
      <c r="AZ477" s="133"/>
      <c r="BA477" s="133"/>
      <c r="BB477" s="133"/>
      <c r="BC477" s="133"/>
      <c r="BD477" s="133"/>
      <c r="BE477" s="133"/>
      <c r="BF477" s="133"/>
      <c r="BG477" s="133"/>
      <c r="BH477" s="133"/>
      <c r="BI477" s="133"/>
      <c r="BJ477" s="133"/>
      <c r="BK477" s="133"/>
      <c r="BL477" s="133"/>
      <c r="BM477" s="133"/>
      <c r="BN477" s="133"/>
      <c r="BO477" s="133"/>
      <c r="BP477" s="133"/>
      <c r="BQ477" s="133"/>
      <c r="BR477" s="133"/>
      <c r="BS477" s="133"/>
      <c r="BT477" s="133"/>
      <c r="BU477" s="133"/>
    </row>
    <row r="478" spans="15:73"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  <c r="AF478" s="133"/>
      <c r="AG478" s="133"/>
      <c r="AH478" s="133"/>
      <c r="AI478" s="133"/>
      <c r="AJ478" s="133"/>
      <c r="AK478" s="133"/>
      <c r="AL478" s="133"/>
      <c r="AM478" s="133"/>
      <c r="AN478" s="133"/>
      <c r="AO478" s="133"/>
      <c r="AP478" s="133"/>
      <c r="AQ478" s="133"/>
      <c r="AR478" s="133"/>
      <c r="AS478" s="133"/>
      <c r="AT478" s="133"/>
      <c r="AU478" s="133"/>
      <c r="AV478" s="133"/>
      <c r="AW478" s="133"/>
      <c r="AX478" s="133"/>
      <c r="AY478" s="133"/>
      <c r="AZ478" s="133"/>
      <c r="BA478" s="133"/>
      <c r="BB478" s="133"/>
      <c r="BC478" s="133"/>
      <c r="BD478" s="133"/>
      <c r="BE478" s="133"/>
      <c r="BF478" s="133"/>
      <c r="BG478" s="133"/>
      <c r="BH478" s="133"/>
      <c r="BI478" s="133"/>
      <c r="BJ478" s="133"/>
      <c r="BK478" s="133"/>
      <c r="BL478" s="133"/>
      <c r="BM478" s="133"/>
      <c r="BN478" s="133"/>
      <c r="BO478" s="133"/>
      <c r="BP478" s="133"/>
      <c r="BQ478" s="133"/>
      <c r="BR478" s="133"/>
      <c r="BS478" s="133"/>
      <c r="BT478" s="133"/>
      <c r="BU478" s="133"/>
    </row>
    <row r="479" spans="15:73"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  <c r="AF479" s="133"/>
      <c r="AG479" s="133"/>
      <c r="AH479" s="133"/>
      <c r="AI479" s="133"/>
      <c r="AJ479" s="133"/>
      <c r="AK479" s="133"/>
      <c r="AL479" s="133"/>
      <c r="AM479" s="133"/>
      <c r="AN479" s="133"/>
      <c r="AO479" s="133"/>
      <c r="AP479" s="133"/>
      <c r="AQ479" s="133"/>
      <c r="AR479" s="133"/>
      <c r="AS479" s="133"/>
      <c r="AT479" s="133"/>
      <c r="AU479" s="133"/>
      <c r="AV479" s="133"/>
      <c r="AW479" s="133"/>
      <c r="AX479" s="133"/>
      <c r="AY479" s="133"/>
      <c r="AZ479" s="133"/>
      <c r="BA479" s="133"/>
      <c r="BB479" s="133"/>
      <c r="BC479" s="133"/>
      <c r="BD479" s="133"/>
      <c r="BE479" s="133"/>
      <c r="BF479" s="133"/>
      <c r="BG479" s="133"/>
      <c r="BH479" s="133"/>
      <c r="BI479" s="133"/>
      <c r="BJ479" s="133"/>
      <c r="BK479" s="133"/>
      <c r="BL479" s="133"/>
      <c r="BM479" s="133"/>
      <c r="BN479" s="133"/>
      <c r="BO479" s="133"/>
      <c r="BP479" s="133"/>
      <c r="BQ479" s="133"/>
      <c r="BR479" s="133"/>
      <c r="BS479" s="133"/>
      <c r="BT479" s="133"/>
      <c r="BU479" s="133"/>
    </row>
    <row r="480" spans="15:73"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  <c r="AF480" s="133"/>
      <c r="AG480" s="133"/>
      <c r="AH480" s="133"/>
      <c r="AI480" s="133"/>
      <c r="AJ480" s="133"/>
      <c r="AK480" s="133"/>
      <c r="AL480" s="133"/>
      <c r="AM480" s="133"/>
      <c r="AN480" s="133"/>
      <c r="AO480" s="133"/>
      <c r="AP480" s="133"/>
      <c r="AQ480" s="133"/>
      <c r="AR480" s="133"/>
      <c r="AS480" s="133"/>
      <c r="AT480" s="133"/>
      <c r="AU480" s="133"/>
      <c r="AV480" s="133"/>
      <c r="AW480" s="133"/>
      <c r="AX480" s="133"/>
      <c r="AY480" s="133"/>
      <c r="AZ480" s="133"/>
      <c r="BA480" s="133"/>
      <c r="BB480" s="133"/>
      <c r="BC480" s="133"/>
      <c r="BD480" s="133"/>
      <c r="BE480" s="133"/>
      <c r="BF480" s="133"/>
      <c r="BG480" s="133"/>
      <c r="BH480" s="133"/>
      <c r="BI480" s="133"/>
      <c r="BJ480" s="133"/>
      <c r="BK480" s="133"/>
      <c r="BL480" s="133"/>
      <c r="BM480" s="133"/>
      <c r="BN480" s="133"/>
      <c r="BO480" s="133"/>
      <c r="BP480" s="133"/>
      <c r="BQ480" s="133"/>
      <c r="BR480" s="133"/>
      <c r="BS480" s="133"/>
      <c r="BT480" s="133"/>
      <c r="BU480" s="133"/>
    </row>
    <row r="481" spans="15:73"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  <c r="AF481" s="133"/>
      <c r="AG481" s="133"/>
      <c r="AH481" s="133"/>
      <c r="AI481" s="133"/>
      <c r="AJ481" s="133"/>
      <c r="AK481" s="133"/>
      <c r="AL481" s="133"/>
      <c r="AM481" s="133"/>
      <c r="AN481" s="133"/>
      <c r="AO481" s="133"/>
      <c r="AP481" s="133"/>
      <c r="AQ481" s="133"/>
      <c r="AR481" s="133"/>
      <c r="AS481" s="133"/>
      <c r="AT481" s="133"/>
      <c r="AU481" s="133"/>
      <c r="AV481" s="133"/>
      <c r="AW481" s="133"/>
      <c r="AX481" s="133"/>
      <c r="AY481" s="133"/>
      <c r="AZ481" s="133"/>
      <c r="BA481" s="133"/>
      <c r="BB481" s="133"/>
      <c r="BC481" s="133"/>
      <c r="BD481" s="133"/>
      <c r="BE481" s="133"/>
      <c r="BF481" s="133"/>
      <c r="BG481" s="133"/>
      <c r="BH481" s="133"/>
      <c r="BI481" s="133"/>
      <c r="BJ481" s="133"/>
      <c r="BK481" s="133"/>
      <c r="BL481" s="133"/>
      <c r="BM481" s="133"/>
      <c r="BN481" s="133"/>
      <c r="BO481" s="133"/>
      <c r="BP481" s="133"/>
      <c r="BQ481" s="133"/>
      <c r="BR481" s="133"/>
      <c r="BS481" s="133"/>
      <c r="BT481" s="133"/>
      <c r="BU481" s="133"/>
    </row>
    <row r="482" spans="15:73"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  <c r="AF482" s="133"/>
      <c r="AG482" s="133"/>
      <c r="AH482" s="133"/>
      <c r="AI482" s="133"/>
      <c r="AJ482" s="133"/>
      <c r="AK482" s="133"/>
      <c r="AL482" s="133"/>
      <c r="AM482" s="133"/>
      <c r="AN482" s="133"/>
      <c r="AO482" s="133"/>
      <c r="AP482" s="133"/>
      <c r="AQ482" s="133"/>
      <c r="AR482" s="133"/>
      <c r="AS482" s="133"/>
      <c r="AT482" s="133"/>
      <c r="AU482" s="133"/>
      <c r="AV482" s="133"/>
      <c r="AW482" s="133"/>
      <c r="AX482" s="133"/>
      <c r="AY482" s="133"/>
      <c r="AZ482" s="133"/>
      <c r="BA482" s="133"/>
      <c r="BB482" s="133"/>
      <c r="BC482" s="133"/>
      <c r="BD482" s="133"/>
      <c r="BE482" s="133"/>
      <c r="BF482" s="133"/>
      <c r="BG482" s="133"/>
      <c r="BH482" s="133"/>
      <c r="BI482" s="133"/>
      <c r="BJ482" s="133"/>
      <c r="BK482" s="133"/>
      <c r="BL482" s="133"/>
      <c r="BM482" s="133"/>
      <c r="BN482" s="133"/>
      <c r="BO482" s="133"/>
      <c r="BP482" s="133"/>
      <c r="BQ482" s="133"/>
      <c r="BR482" s="133"/>
      <c r="BS482" s="133"/>
      <c r="BT482" s="133"/>
      <c r="BU482" s="133"/>
    </row>
    <row r="483" spans="15:73"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  <c r="AF483" s="133"/>
      <c r="AG483" s="133"/>
      <c r="AH483" s="133"/>
      <c r="AI483" s="133"/>
      <c r="AJ483" s="133"/>
      <c r="AK483" s="133"/>
      <c r="AL483" s="133"/>
      <c r="AM483" s="133"/>
      <c r="AN483" s="133"/>
      <c r="AO483" s="133"/>
      <c r="AP483" s="133"/>
      <c r="AQ483" s="133"/>
      <c r="AR483" s="133"/>
      <c r="AS483" s="133"/>
      <c r="AT483" s="133"/>
      <c r="AU483" s="133"/>
      <c r="AV483" s="133"/>
      <c r="AW483" s="133"/>
      <c r="AX483" s="133"/>
      <c r="AY483" s="133"/>
      <c r="AZ483" s="133"/>
      <c r="BA483" s="133"/>
      <c r="BB483" s="133"/>
      <c r="BC483" s="133"/>
      <c r="BD483" s="133"/>
      <c r="BE483" s="133"/>
      <c r="BF483" s="133"/>
      <c r="BG483" s="133"/>
      <c r="BH483" s="133"/>
      <c r="BI483" s="133"/>
      <c r="BJ483" s="133"/>
      <c r="BK483" s="133"/>
      <c r="BL483" s="133"/>
      <c r="BM483" s="133"/>
      <c r="BN483" s="133"/>
      <c r="BO483" s="133"/>
      <c r="BP483" s="133"/>
      <c r="BQ483" s="133"/>
      <c r="BR483" s="133"/>
      <c r="BS483" s="133"/>
      <c r="BT483" s="133"/>
      <c r="BU483" s="133"/>
    </row>
    <row r="484" spans="15:73"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  <c r="AF484" s="133"/>
      <c r="AG484" s="133"/>
      <c r="AH484" s="133"/>
      <c r="AI484" s="133"/>
      <c r="AJ484" s="133"/>
      <c r="AK484" s="133"/>
      <c r="AL484" s="133"/>
      <c r="AM484" s="133"/>
      <c r="AN484" s="133"/>
      <c r="AO484" s="133"/>
      <c r="AP484" s="133"/>
      <c r="AQ484" s="133"/>
      <c r="AR484" s="133"/>
      <c r="AS484" s="133"/>
      <c r="AT484" s="133"/>
      <c r="AU484" s="133"/>
      <c r="AV484" s="133"/>
      <c r="AW484" s="133"/>
      <c r="AX484" s="133"/>
      <c r="AY484" s="133"/>
      <c r="AZ484" s="133"/>
      <c r="BA484" s="133"/>
      <c r="BB484" s="133"/>
      <c r="BC484" s="133"/>
      <c r="BD484" s="133"/>
      <c r="BE484" s="133"/>
      <c r="BF484" s="133"/>
      <c r="BG484" s="133"/>
      <c r="BH484" s="133"/>
      <c r="BI484" s="133"/>
      <c r="BJ484" s="133"/>
      <c r="BK484" s="133"/>
      <c r="BL484" s="133"/>
      <c r="BM484" s="133"/>
      <c r="BN484" s="133"/>
      <c r="BO484" s="133"/>
      <c r="BP484" s="133"/>
      <c r="BQ484" s="133"/>
      <c r="BR484" s="133"/>
      <c r="BS484" s="133"/>
      <c r="BT484" s="133"/>
      <c r="BU484" s="133"/>
    </row>
    <row r="485" spans="15:73"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  <c r="AF485" s="133"/>
      <c r="AG485" s="133"/>
      <c r="AH485" s="133"/>
      <c r="AI485" s="133"/>
      <c r="AJ485" s="133"/>
      <c r="AK485" s="133"/>
      <c r="AL485" s="133"/>
      <c r="AM485" s="133"/>
      <c r="AN485" s="133"/>
      <c r="AO485" s="133"/>
      <c r="AP485" s="133"/>
      <c r="AQ485" s="133"/>
      <c r="AR485" s="133"/>
      <c r="AS485" s="133"/>
      <c r="AT485" s="133"/>
      <c r="AU485" s="133"/>
      <c r="AV485" s="133"/>
      <c r="AW485" s="133"/>
      <c r="AX485" s="133"/>
      <c r="AY485" s="133"/>
      <c r="AZ485" s="133"/>
      <c r="BA485" s="133"/>
      <c r="BB485" s="133"/>
      <c r="BC485" s="133"/>
      <c r="BD485" s="133"/>
      <c r="BE485" s="133"/>
      <c r="BF485" s="133"/>
      <c r="BG485" s="133"/>
      <c r="BH485" s="133"/>
      <c r="BI485" s="133"/>
      <c r="BJ485" s="133"/>
      <c r="BK485" s="133"/>
      <c r="BL485" s="133"/>
      <c r="BM485" s="133"/>
      <c r="BN485" s="133"/>
      <c r="BO485" s="133"/>
      <c r="BP485" s="133"/>
      <c r="BQ485" s="133"/>
      <c r="BR485" s="133"/>
      <c r="BS485" s="133"/>
      <c r="BT485" s="133"/>
      <c r="BU485" s="133"/>
    </row>
    <row r="486" spans="15:73"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  <c r="AF486" s="133"/>
      <c r="AG486" s="133"/>
      <c r="AH486" s="133"/>
      <c r="AI486" s="133"/>
      <c r="AJ486" s="133"/>
      <c r="AK486" s="133"/>
      <c r="AL486" s="133"/>
      <c r="AM486" s="133"/>
      <c r="AN486" s="133"/>
      <c r="AO486" s="133"/>
      <c r="AP486" s="133"/>
      <c r="AQ486" s="133"/>
      <c r="AR486" s="133"/>
      <c r="AS486" s="133"/>
      <c r="AT486" s="133"/>
      <c r="AU486" s="133"/>
      <c r="AV486" s="133"/>
      <c r="AW486" s="133"/>
      <c r="AX486" s="133"/>
      <c r="AY486" s="133"/>
      <c r="AZ486" s="133"/>
      <c r="BA486" s="133"/>
      <c r="BB486" s="133"/>
      <c r="BC486" s="133"/>
      <c r="BD486" s="133"/>
      <c r="BE486" s="133"/>
      <c r="BF486" s="133"/>
      <c r="BG486" s="133"/>
      <c r="BH486" s="133"/>
      <c r="BI486" s="133"/>
      <c r="BJ486" s="133"/>
      <c r="BK486" s="133"/>
      <c r="BL486" s="133"/>
      <c r="BM486" s="133"/>
      <c r="BN486" s="133"/>
      <c r="BO486" s="133"/>
      <c r="BP486" s="133"/>
      <c r="BQ486" s="133"/>
      <c r="BR486" s="133"/>
      <c r="BS486" s="133"/>
      <c r="BT486" s="133"/>
      <c r="BU486" s="133"/>
    </row>
    <row r="487" spans="15:73"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  <c r="AF487" s="133"/>
      <c r="AG487" s="133"/>
      <c r="AH487" s="133"/>
      <c r="AI487" s="133"/>
      <c r="AJ487" s="133"/>
      <c r="AK487" s="133"/>
      <c r="AL487" s="133"/>
      <c r="AM487" s="133"/>
      <c r="AN487" s="133"/>
      <c r="AO487" s="133"/>
      <c r="AP487" s="133"/>
      <c r="AQ487" s="133"/>
      <c r="AR487" s="133"/>
      <c r="AS487" s="133"/>
      <c r="AT487" s="133"/>
      <c r="AU487" s="133"/>
      <c r="AV487" s="133"/>
      <c r="AW487" s="133"/>
      <c r="AX487" s="133"/>
      <c r="AY487" s="133"/>
      <c r="AZ487" s="133"/>
      <c r="BA487" s="133"/>
      <c r="BB487" s="133"/>
      <c r="BC487" s="133"/>
      <c r="BD487" s="133"/>
      <c r="BE487" s="133"/>
      <c r="BF487" s="133"/>
      <c r="BG487" s="133"/>
      <c r="BH487" s="133"/>
      <c r="BI487" s="133"/>
      <c r="BJ487" s="133"/>
      <c r="BK487" s="133"/>
      <c r="BL487" s="133"/>
      <c r="BM487" s="133"/>
      <c r="BN487" s="133"/>
      <c r="BO487" s="133"/>
      <c r="BP487" s="133"/>
      <c r="BQ487" s="133"/>
      <c r="BR487" s="133"/>
      <c r="BS487" s="133"/>
      <c r="BT487" s="133"/>
      <c r="BU487" s="133"/>
    </row>
    <row r="488" spans="15:73"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  <c r="AF488" s="133"/>
      <c r="AG488" s="133"/>
      <c r="AH488" s="133"/>
      <c r="AI488" s="133"/>
      <c r="AJ488" s="133"/>
      <c r="AK488" s="133"/>
      <c r="AL488" s="133"/>
      <c r="AM488" s="133"/>
      <c r="AN488" s="133"/>
      <c r="AO488" s="133"/>
      <c r="AP488" s="133"/>
      <c r="AQ488" s="133"/>
      <c r="AR488" s="133"/>
      <c r="AS488" s="133"/>
      <c r="AT488" s="133"/>
      <c r="AU488" s="133"/>
      <c r="AV488" s="133"/>
      <c r="AW488" s="133"/>
      <c r="AX488" s="133"/>
      <c r="AY488" s="133"/>
      <c r="AZ488" s="133"/>
      <c r="BA488" s="133"/>
      <c r="BB488" s="133"/>
      <c r="BC488" s="133"/>
      <c r="BD488" s="133"/>
      <c r="BE488" s="133"/>
      <c r="BF488" s="133"/>
      <c r="BG488" s="133"/>
      <c r="BH488" s="133"/>
      <c r="BI488" s="133"/>
      <c r="BJ488" s="133"/>
      <c r="BK488" s="133"/>
      <c r="BL488" s="133"/>
      <c r="BM488" s="133"/>
      <c r="BN488" s="133"/>
      <c r="BO488" s="133"/>
      <c r="BP488" s="133"/>
      <c r="BQ488" s="133"/>
      <c r="BR488" s="133"/>
      <c r="BS488" s="133"/>
      <c r="BT488" s="133"/>
      <c r="BU488" s="133"/>
    </row>
    <row r="489" spans="15:73"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  <c r="AF489" s="133"/>
      <c r="AG489" s="133"/>
      <c r="AH489" s="133"/>
      <c r="AI489" s="133"/>
      <c r="AJ489" s="133"/>
      <c r="AK489" s="133"/>
      <c r="AL489" s="133"/>
      <c r="AM489" s="133"/>
      <c r="AN489" s="133"/>
      <c r="AO489" s="133"/>
      <c r="AP489" s="133"/>
      <c r="AQ489" s="133"/>
      <c r="AR489" s="133"/>
      <c r="AS489" s="133"/>
      <c r="AT489" s="133"/>
      <c r="AU489" s="133"/>
      <c r="AV489" s="133"/>
      <c r="AW489" s="133"/>
      <c r="AX489" s="133"/>
      <c r="AY489" s="133"/>
      <c r="AZ489" s="133"/>
      <c r="BA489" s="133"/>
      <c r="BB489" s="133"/>
      <c r="BC489" s="133"/>
      <c r="BD489" s="133"/>
      <c r="BE489" s="133"/>
      <c r="BF489" s="133"/>
      <c r="BG489" s="133"/>
      <c r="BH489" s="133"/>
      <c r="BI489" s="133"/>
      <c r="BJ489" s="133"/>
      <c r="BK489" s="133"/>
      <c r="BL489" s="133"/>
      <c r="BM489" s="133"/>
      <c r="BN489" s="133"/>
      <c r="BO489" s="133"/>
      <c r="BP489" s="133"/>
      <c r="BQ489" s="133"/>
      <c r="BR489" s="133"/>
      <c r="BS489" s="133"/>
      <c r="BT489" s="133"/>
      <c r="BU489" s="133"/>
    </row>
    <row r="490" spans="15:73"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  <c r="AF490" s="133"/>
      <c r="AG490" s="133"/>
      <c r="AH490" s="133"/>
      <c r="AI490" s="133"/>
      <c r="AJ490" s="133"/>
      <c r="AK490" s="133"/>
      <c r="AL490" s="133"/>
      <c r="AM490" s="133"/>
      <c r="AN490" s="133"/>
      <c r="AO490" s="133"/>
      <c r="AP490" s="133"/>
      <c r="AQ490" s="133"/>
      <c r="AR490" s="133"/>
      <c r="AS490" s="133"/>
      <c r="AT490" s="133"/>
      <c r="AU490" s="133"/>
      <c r="AV490" s="133"/>
      <c r="AW490" s="133"/>
      <c r="AX490" s="133"/>
      <c r="AY490" s="133"/>
      <c r="AZ490" s="133"/>
      <c r="BA490" s="133"/>
      <c r="BB490" s="133"/>
      <c r="BC490" s="133"/>
      <c r="BD490" s="133"/>
      <c r="BE490" s="133"/>
      <c r="BF490" s="133"/>
      <c r="BG490" s="133"/>
      <c r="BH490" s="133"/>
      <c r="BI490" s="133"/>
      <c r="BJ490" s="133"/>
      <c r="BK490" s="133"/>
      <c r="BL490" s="133"/>
      <c r="BM490" s="133"/>
      <c r="BN490" s="133"/>
      <c r="BO490" s="133"/>
      <c r="BP490" s="133"/>
      <c r="BQ490" s="133"/>
      <c r="BR490" s="133"/>
      <c r="BS490" s="133"/>
      <c r="BT490" s="133"/>
      <c r="BU490" s="133"/>
    </row>
    <row r="491" spans="15:73"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  <c r="AF491" s="133"/>
      <c r="AG491" s="133"/>
      <c r="AH491" s="133"/>
      <c r="AI491" s="133"/>
      <c r="AJ491" s="133"/>
      <c r="AK491" s="133"/>
      <c r="AL491" s="133"/>
      <c r="AM491" s="133"/>
      <c r="AN491" s="133"/>
      <c r="AO491" s="133"/>
      <c r="AP491" s="133"/>
      <c r="AQ491" s="133"/>
      <c r="AR491" s="133"/>
      <c r="AS491" s="133"/>
      <c r="AT491" s="133"/>
      <c r="AU491" s="133"/>
      <c r="AV491" s="133"/>
      <c r="AW491" s="133"/>
      <c r="AX491" s="133"/>
      <c r="AY491" s="133"/>
      <c r="AZ491" s="133"/>
      <c r="BA491" s="133"/>
      <c r="BB491" s="133"/>
      <c r="BC491" s="133"/>
      <c r="BD491" s="133"/>
      <c r="BE491" s="133"/>
      <c r="BF491" s="133"/>
      <c r="BG491" s="133"/>
      <c r="BH491" s="133"/>
      <c r="BI491" s="133"/>
      <c r="BJ491" s="133"/>
      <c r="BK491" s="133"/>
      <c r="BL491" s="133"/>
      <c r="BM491" s="133"/>
      <c r="BN491" s="133"/>
      <c r="BO491" s="133"/>
      <c r="BP491" s="133"/>
      <c r="BQ491" s="133"/>
      <c r="BR491" s="133"/>
      <c r="BS491" s="133"/>
      <c r="BT491" s="133"/>
      <c r="BU491" s="133"/>
    </row>
    <row r="492" spans="15:73"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  <c r="AF492" s="133"/>
      <c r="AG492" s="133"/>
      <c r="AH492" s="133"/>
      <c r="AI492" s="133"/>
      <c r="AJ492" s="133"/>
      <c r="AK492" s="133"/>
      <c r="AL492" s="133"/>
      <c r="AM492" s="133"/>
      <c r="AN492" s="133"/>
      <c r="AO492" s="133"/>
      <c r="AP492" s="133"/>
      <c r="AQ492" s="133"/>
      <c r="AR492" s="133"/>
      <c r="AS492" s="133"/>
      <c r="AT492" s="133"/>
      <c r="AU492" s="133"/>
      <c r="AV492" s="133"/>
      <c r="AW492" s="133"/>
      <c r="AX492" s="133"/>
      <c r="AY492" s="133"/>
      <c r="AZ492" s="133"/>
      <c r="BA492" s="133"/>
      <c r="BB492" s="133"/>
      <c r="BC492" s="133"/>
      <c r="BD492" s="133"/>
      <c r="BE492" s="133"/>
      <c r="BF492" s="133"/>
      <c r="BG492" s="133"/>
      <c r="BH492" s="133"/>
      <c r="BI492" s="133"/>
      <c r="BJ492" s="133"/>
      <c r="BK492" s="133"/>
      <c r="BL492" s="133"/>
      <c r="BM492" s="133"/>
      <c r="BN492" s="133"/>
      <c r="BO492" s="133"/>
      <c r="BP492" s="133"/>
      <c r="BQ492" s="133"/>
      <c r="BR492" s="133"/>
      <c r="BS492" s="133"/>
      <c r="BT492" s="133"/>
      <c r="BU492" s="133"/>
    </row>
    <row r="493" spans="15:73"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  <c r="AF493" s="133"/>
      <c r="AG493" s="133"/>
      <c r="AH493" s="133"/>
      <c r="AI493" s="133"/>
      <c r="AJ493" s="133"/>
      <c r="AK493" s="133"/>
      <c r="AL493" s="133"/>
      <c r="AM493" s="133"/>
      <c r="AN493" s="133"/>
      <c r="AO493" s="133"/>
      <c r="AP493" s="133"/>
      <c r="AQ493" s="133"/>
      <c r="AR493" s="133"/>
      <c r="AS493" s="133"/>
      <c r="AT493" s="133"/>
      <c r="AU493" s="133"/>
      <c r="AV493" s="133"/>
      <c r="AW493" s="133"/>
      <c r="AX493" s="133"/>
      <c r="AY493" s="133"/>
      <c r="AZ493" s="133"/>
      <c r="BA493" s="133"/>
      <c r="BB493" s="133"/>
      <c r="BC493" s="133"/>
      <c r="BD493" s="133"/>
      <c r="BE493" s="133"/>
      <c r="BF493" s="133"/>
      <c r="BG493" s="133"/>
      <c r="BH493" s="133"/>
      <c r="BI493" s="133"/>
      <c r="BJ493" s="133"/>
      <c r="BK493" s="133"/>
      <c r="BL493" s="133"/>
      <c r="BM493" s="133"/>
      <c r="BN493" s="133"/>
      <c r="BO493" s="133"/>
      <c r="BP493" s="133"/>
      <c r="BQ493" s="133"/>
      <c r="BR493" s="133"/>
      <c r="BS493" s="133"/>
      <c r="BT493" s="133"/>
      <c r="BU493" s="133"/>
    </row>
    <row r="494" spans="15:73"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H494" s="133"/>
      <c r="AI494" s="133"/>
      <c r="AJ494" s="133"/>
      <c r="AK494" s="133"/>
      <c r="AL494" s="133"/>
      <c r="AM494" s="133"/>
      <c r="AN494" s="133"/>
      <c r="AO494" s="133"/>
      <c r="AP494" s="133"/>
      <c r="AQ494" s="133"/>
      <c r="AR494" s="133"/>
      <c r="AS494" s="133"/>
      <c r="AT494" s="133"/>
      <c r="AU494" s="133"/>
      <c r="AV494" s="133"/>
      <c r="AW494" s="133"/>
      <c r="AX494" s="133"/>
      <c r="AY494" s="133"/>
      <c r="AZ494" s="133"/>
      <c r="BA494" s="133"/>
      <c r="BB494" s="133"/>
      <c r="BC494" s="133"/>
      <c r="BD494" s="133"/>
      <c r="BE494" s="133"/>
      <c r="BF494" s="133"/>
      <c r="BG494" s="133"/>
      <c r="BH494" s="133"/>
      <c r="BI494" s="133"/>
      <c r="BJ494" s="133"/>
      <c r="BK494" s="133"/>
      <c r="BL494" s="133"/>
      <c r="BM494" s="133"/>
      <c r="BN494" s="133"/>
      <c r="BO494" s="133"/>
      <c r="BP494" s="133"/>
      <c r="BQ494" s="133"/>
      <c r="BR494" s="133"/>
      <c r="BS494" s="133"/>
      <c r="BT494" s="133"/>
      <c r="BU494" s="133"/>
    </row>
    <row r="495" spans="15:73"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H495" s="133"/>
      <c r="AI495" s="133"/>
      <c r="AJ495" s="133"/>
      <c r="AK495" s="133"/>
      <c r="AL495" s="133"/>
      <c r="AM495" s="133"/>
      <c r="AN495" s="133"/>
      <c r="AO495" s="133"/>
      <c r="AP495" s="133"/>
      <c r="AQ495" s="133"/>
      <c r="AR495" s="133"/>
      <c r="AS495" s="133"/>
      <c r="AT495" s="133"/>
      <c r="AU495" s="133"/>
      <c r="AV495" s="133"/>
      <c r="AW495" s="133"/>
      <c r="AX495" s="133"/>
      <c r="AY495" s="133"/>
      <c r="AZ495" s="133"/>
      <c r="BA495" s="133"/>
      <c r="BB495" s="133"/>
      <c r="BC495" s="133"/>
      <c r="BD495" s="133"/>
      <c r="BE495" s="133"/>
      <c r="BF495" s="133"/>
      <c r="BG495" s="133"/>
      <c r="BH495" s="133"/>
      <c r="BI495" s="133"/>
      <c r="BJ495" s="133"/>
      <c r="BK495" s="133"/>
      <c r="BL495" s="133"/>
      <c r="BM495" s="133"/>
      <c r="BN495" s="133"/>
      <c r="BO495" s="133"/>
      <c r="BP495" s="133"/>
      <c r="BQ495" s="133"/>
      <c r="BR495" s="133"/>
      <c r="BS495" s="133"/>
      <c r="BT495" s="133"/>
      <c r="BU495" s="133"/>
    </row>
    <row r="496" spans="15:73"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H496" s="133"/>
      <c r="AI496" s="133"/>
      <c r="AJ496" s="133"/>
      <c r="AK496" s="133"/>
      <c r="AL496" s="133"/>
      <c r="AM496" s="133"/>
      <c r="AN496" s="133"/>
      <c r="AO496" s="133"/>
      <c r="AP496" s="133"/>
      <c r="AQ496" s="133"/>
      <c r="AR496" s="133"/>
      <c r="AS496" s="133"/>
      <c r="AT496" s="133"/>
      <c r="AU496" s="133"/>
      <c r="AV496" s="133"/>
      <c r="AW496" s="133"/>
      <c r="AX496" s="133"/>
      <c r="AY496" s="133"/>
      <c r="AZ496" s="133"/>
      <c r="BA496" s="133"/>
      <c r="BB496" s="133"/>
      <c r="BC496" s="133"/>
      <c r="BD496" s="133"/>
      <c r="BE496" s="133"/>
      <c r="BF496" s="133"/>
      <c r="BG496" s="133"/>
      <c r="BH496" s="133"/>
      <c r="BI496" s="133"/>
      <c r="BJ496" s="133"/>
      <c r="BK496" s="133"/>
      <c r="BL496" s="133"/>
      <c r="BM496" s="133"/>
      <c r="BN496" s="133"/>
      <c r="BO496" s="133"/>
      <c r="BP496" s="133"/>
      <c r="BQ496" s="133"/>
      <c r="BR496" s="133"/>
      <c r="BS496" s="133"/>
      <c r="BT496" s="133"/>
      <c r="BU496" s="133"/>
    </row>
    <row r="497" spans="15:73"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H497" s="133"/>
      <c r="AI497" s="133"/>
      <c r="AJ497" s="133"/>
      <c r="AK497" s="133"/>
      <c r="AL497" s="133"/>
      <c r="AM497" s="133"/>
      <c r="AN497" s="133"/>
      <c r="AO497" s="133"/>
      <c r="AP497" s="133"/>
      <c r="AQ497" s="133"/>
      <c r="AR497" s="133"/>
      <c r="AS497" s="133"/>
      <c r="AT497" s="133"/>
      <c r="AU497" s="133"/>
      <c r="AV497" s="133"/>
      <c r="AW497" s="133"/>
      <c r="AX497" s="133"/>
      <c r="AY497" s="133"/>
      <c r="AZ497" s="133"/>
      <c r="BA497" s="133"/>
      <c r="BB497" s="133"/>
      <c r="BC497" s="133"/>
      <c r="BD497" s="133"/>
      <c r="BE497" s="133"/>
      <c r="BF497" s="133"/>
      <c r="BG497" s="133"/>
      <c r="BH497" s="133"/>
      <c r="BI497" s="133"/>
      <c r="BJ497" s="133"/>
      <c r="BK497" s="133"/>
      <c r="BL497" s="133"/>
      <c r="BM497" s="133"/>
      <c r="BN497" s="133"/>
      <c r="BO497" s="133"/>
      <c r="BP497" s="133"/>
      <c r="BQ497" s="133"/>
      <c r="BR497" s="133"/>
      <c r="BS497" s="133"/>
      <c r="BT497" s="133"/>
      <c r="BU497" s="133"/>
    </row>
    <row r="498" spans="15:73"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H498" s="133"/>
      <c r="AI498" s="133"/>
      <c r="AJ498" s="133"/>
      <c r="AK498" s="133"/>
      <c r="AL498" s="133"/>
      <c r="AM498" s="133"/>
      <c r="AN498" s="133"/>
      <c r="AO498" s="133"/>
      <c r="AP498" s="133"/>
      <c r="AQ498" s="133"/>
      <c r="AR498" s="133"/>
      <c r="AS498" s="133"/>
      <c r="AT498" s="133"/>
      <c r="AU498" s="133"/>
      <c r="AV498" s="133"/>
      <c r="AW498" s="133"/>
      <c r="AX498" s="133"/>
      <c r="AY498" s="133"/>
      <c r="AZ498" s="133"/>
      <c r="BA498" s="133"/>
      <c r="BB498" s="133"/>
      <c r="BC498" s="133"/>
      <c r="BD498" s="133"/>
      <c r="BE498" s="133"/>
      <c r="BF498" s="133"/>
      <c r="BG498" s="133"/>
      <c r="BH498" s="133"/>
      <c r="BI498" s="133"/>
      <c r="BJ498" s="133"/>
      <c r="BK498" s="133"/>
      <c r="BL498" s="133"/>
      <c r="BM498" s="133"/>
      <c r="BN498" s="133"/>
      <c r="BO498" s="133"/>
      <c r="BP498" s="133"/>
      <c r="BQ498" s="133"/>
      <c r="BR498" s="133"/>
      <c r="BS498" s="133"/>
      <c r="BT498" s="133"/>
      <c r="BU498" s="133"/>
    </row>
    <row r="499" spans="15:73"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H499" s="133"/>
      <c r="AI499" s="133"/>
      <c r="AJ499" s="133"/>
      <c r="AK499" s="133"/>
      <c r="AL499" s="133"/>
      <c r="AM499" s="133"/>
      <c r="AN499" s="133"/>
      <c r="AO499" s="133"/>
      <c r="AP499" s="133"/>
      <c r="AQ499" s="133"/>
      <c r="AR499" s="133"/>
      <c r="AS499" s="133"/>
      <c r="AT499" s="133"/>
      <c r="AU499" s="133"/>
      <c r="AV499" s="133"/>
      <c r="AW499" s="133"/>
      <c r="AX499" s="133"/>
      <c r="AY499" s="133"/>
      <c r="AZ499" s="133"/>
      <c r="BA499" s="133"/>
      <c r="BB499" s="133"/>
      <c r="BC499" s="133"/>
      <c r="BD499" s="133"/>
      <c r="BE499" s="133"/>
      <c r="BF499" s="133"/>
      <c r="BG499" s="133"/>
      <c r="BH499" s="133"/>
      <c r="BI499" s="133"/>
      <c r="BJ499" s="133"/>
      <c r="BK499" s="133"/>
      <c r="BL499" s="133"/>
      <c r="BM499" s="133"/>
      <c r="BN499" s="133"/>
      <c r="BO499" s="133"/>
      <c r="BP499" s="133"/>
      <c r="BQ499" s="133"/>
      <c r="BR499" s="133"/>
      <c r="BS499" s="133"/>
      <c r="BT499" s="133"/>
      <c r="BU499" s="133"/>
    </row>
    <row r="500" spans="15:73"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H500" s="133"/>
      <c r="AI500" s="133"/>
      <c r="AJ500" s="133"/>
      <c r="AK500" s="133"/>
      <c r="AL500" s="133"/>
      <c r="AM500" s="133"/>
      <c r="AN500" s="133"/>
      <c r="AO500" s="133"/>
      <c r="AP500" s="133"/>
      <c r="AQ500" s="133"/>
      <c r="AR500" s="133"/>
      <c r="AS500" s="133"/>
      <c r="AT500" s="133"/>
      <c r="AU500" s="133"/>
      <c r="AV500" s="133"/>
      <c r="AW500" s="133"/>
      <c r="AX500" s="133"/>
      <c r="AY500" s="133"/>
      <c r="AZ500" s="133"/>
      <c r="BA500" s="133"/>
      <c r="BB500" s="133"/>
      <c r="BC500" s="133"/>
      <c r="BD500" s="133"/>
      <c r="BE500" s="133"/>
      <c r="BF500" s="133"/>
      <c r="BG500" s="133"/>
      <c r="BH500" s="133"/>
      <c r="BI500" s="133"/>
      <c r="BJ500" s="133"/>
      <c r="BK500" s="133"/>
      <c r="BL500" s="133"/>
      <c r="BM500" s="133"/>
      <c r="BN500" s="133"/>
      <c r="BO500" s="133"/>
      <c r="BP500" s="133"/>
      <c r="BQ500" s="133"/>
      <c r="BR500" s="133"/>
      <c r="BS500" s="133"/>
      <c r="BT500" s="133"/>
      <c r="BU500" s="133"/>
    </row>
    <row r="501" spans="15:73"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H501" s="133"/>
      <c r="AI501" s="133"/>
      <c r="AJ501" s="133"/>
      <c r="AK501" s="133"/>
      <c r="AL501" s="133"/>
      <c r="AM501" s="133"/>
      <c r="AN501" s="133"/>
      <c r="AO501" s="133"/>
      <c r="AP501" s="133"/>
      <c r="AQ501" s="133"/>
      <c r="AR501" s="133"/>
      <c r="AS501" s="133"/>
      <c r="AT501" s="133"/>
      <c r="AU501" s="133"/>
      <c r="AV501" s="133"/>
      <c r="AW501" s="133"/>
      <c r="AX501" s="133"/>
      <c r="AY501" s="133"/>
      <c r="AZ501" s="133"/>
      <c r="BA501" s="133"/>
      <c r="BB501" s="133"/>
      <c r="BC501" s="133"/>
      <c r="BD501" s="133"/>
      <c r="BE501" s="133"/>
      <c r="BF501" s="133"/>
      <c r="BG501" s="133"/>
      <c r="BH501" s="133"/>
      <c r="BI501" s="133"/>
      <c r="BJ501" s="133"/>
      <c r="BK501" s="133"/>
      <c r="BL501" s="133"/>
      <c r="BM501" s="133"/>
      <c r="BN501" s="133"/>
      <c r="BO501" s="133"/>
      <c r="BP501" s="133"/>
      <c r="BQ501" s="133"/>
      <c r="BR501" s="133"/>
      <c r="BS501" s="133"/>
      <c r="BT501" s="133"/>
      <c r="BU501" s="133"/>
    </row>
    <row r="502" spans="15:73"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H502" s="133"/>
      <c r="AI502" s="133"/>
      <c r="AJ502" s="133"/>
      <c r="AK502" s="133"/>
      <c r="AL502" s="133"/>
      <c r="AM502" s="133"/>
      <c r="AN502" s="133"/>
      <c r="AO502" s="133"/>
      <c r="AP502" s="133"/>
      <c r="AQ502" s="133"/>
      <c r="AR502" s="133"/>
      <c r="AS502" s="133"/>
      <c r="AT502" s="133"/>
      <c r="AU502" s="133"/>
      <c r="AV502" s="133"/>
      <c r="AW502" s="133"/>
      <c r="AX502" s="133"/>
      <c r="AY502" s="133"/>
      <c r="AZ502" s="133"/>
      <c r="BA502" s="133"/>
      <c r="BB502" s="133"/>
      <c r="BC502" s="133"/>
      <c r="BD502" s="133"/>
      <c r="BE502" s="133"/>
      <c r="BF502" s="133"/>
      <c r="BG502" s="133"/>
      <c r="BH502" s="133"/>
      <c r="BI502" s="133"/>
      <c r="BJ502" s="133"/>
      <c r="BK502" s="133"/>
      <c r="BL502" s="133"/>
      <c r="BM502" s="133"/>
      <c r="BN502" s="133"/>
      <c r="BO502" s="133"/>
      <c r="BP502" s="133"/>
      <c r="BQ502" s="133"/>
      <c r="BR502" s="133"/>
      <c r="BS502" s="133"/>
      <c r="BT502" s="133"/>
      <c r="BU502" s="133"/>
    </row>
    <row r="503" spans="15:73"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H503" s="133"/>
      <c r="AI503" s="133"/>
      <c r="AJ503" s="133"/>
      <c r="AK503" s="133"/>
      <c r="AL503" s="133"/>
      <c r="AM503" s="133"/>
      <c r="AN503" s="133"/>
      <c r="AO503" s="133"/>
      <c r="AP503" s="133"/>
      <c r="AQ503" s="133"/>
      <c r="AR503" s="133"/>
      <c r="AS503" s="133"/>
      <c r="AT503" s="133"/>
      <c r="AU503" s="133"/>
      <c r="AV503" s="133"/>
      <c r="AW503" s="133"/>
      <c r="AX503" s="133"/>
      <c r="AY503" s="133"/>
      <c r="AZ503" s="133"/>
      <c r="BA503" s="133"/>
      <c r="BB503" s="133"/>
      <c r="BC503" s="133"/>
      <c r="BD503" s="133"/>
      <c r="BE503" s="133"/>
      <c r="BF503" s="133"/>
      <c r="BG503" s="133"/>
      <c r="BH503" s="133"/>
      <c r="BI503" s="133"/>
      <c r="BJ503" s="133"/>
      <c r="BK503" s="133"/>
      <c r="BL503" s="133"/>
      <c r="BM503" s="133"/>
      <c r="BN503" s="133"/>
      <c r="BO503" s="133"/>
      <c r="BP503" s="133"/>
      <c r="BQ503" s="133"/>
      <c r="BR503" s="133"/>
      <c r="BS503" s="133"/>
      <c r="BT503" s="133"/>
      <c r="BU503" s="133"/>
    </row>
    <row r="504" spans="15:73"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H504" s="133"/>
      <c r="AI504" s="133"/>
      <c r="AJ504" s="133"/>
      <c r="AK504" s="133"/>
      <c r="AL504" s="133"/>
      <c r="AM504" s="133"/>
      <c r="AN504" s="133"/>
      <c r="AO504" s="133"/>
      <c r="AP504" s="133"/>
      <c r="AQ504" s="133"/>
      <c r="AR504" s="133"/>
      <c r="AS504" s="133"/>
      <c r="AT504" s="133"/>
      <c r="AU504" s="133"/>
      <c r="AV504" s="133"/>
      <c r="AW504" s="133"/>
      <c r="AX504" s="133"/>
      <c r="AY504" s="133"/>
      <c r="AZ504" s="133"/>
      <c r="BA504" s="133"/>
      <c r="BB504" s="133"/>
      <c r="BC504" s="133"/>
      <c r="BD504" s="133"/>
      <c r="BE504" s="133"/>
      <c r="BF504" s="133"/>
      <c r="BG504" s="133"/>
      <c r="BH504" s="133"/>
      <c r="BI504" s="133"/>
      <c r="BJ504" s="133"/>
      <c r="BK504" s="133"/>
      <c r="BL504" s="133"/>
      <c r="BM504" s="133"/>
      <c r="BN504" s="133"/>
      <c r="BO504" s="133"/>
      <c r="BP504" s="133"/>
      <c r="BQ504" s="133"/>
      <c r="BR504" s="133"/>
      <c r="BS504" s="133"/>
      <c r="BT504" s="133"/>
      <c r="BU504" s="133"/>
    </row>
    <row r="505" spans="15:73"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H505" s="133"/>
      <c r="AI505" s="133"/>
      <c r="AJ505" s="133"/>
      <c r="AK505" s="133"/>
      <c r="AL505" s="133"/>
      <c r="AM505" s="133"/>
      <c r="AN505" s="133"/>
      <c r="AO505" s="133"/>
      <c r="AP505" s="133"/>
      <c r="AQ505" s="133"/>
      <c r="AR505" s="133"/>
      <c r="AS505" s="133"/>
      <c r="AT505" s="133"/>
      <c r="AU505" s="133"/>
      <c r="AV505" s="133"/>
      <c r="AW505" s="133"/>
      <c r="AX505" s="133"/>
      <c r="AY505" s="133"/>
      <c r="AZ505" s="133"/>
      <c r="BA505" s="133"/>
      <c r="BB505" s="133"/>
      <c r="BC505" s="133"/>
      <c r="BD505" s="133"/>
      <c r="BE505" s="133"/>
      <c r="BF505" s="133"/>
      <c r="BG505" s="133"/>
      <c r="BH505" s="133"/>
      <c r="BI505" s="133"/>
      <c r="BJ505" s="133"/>
      <c r="BK505" s="133"/>
      <c r="BL505" s="133"/>
      <c r="BM505" s="133"/>
      <c r="BN505" s="133"/>
      <c r="BO505" s="133"/>
      <c r="BP505" s="133"/>
      <c r="BQ505" s="133"/>
      <c r="BR505" s="133"/>
      <c r="BS505" s="133"/>
      <c r="BT505" s="133"/>
      <c r="BU505" s="133"/>
    </row>
    <row r="506" spans="15:73"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H506" s="133"/>
      <c r="AI506" s="133"/>
      <c r="AJ506" s="133"/>
      <c r="AK506" s="133"/>
      <c r="AL506" s="133"/>
      <c r="AM506" s="133"/>
      <c r="AN506" s="133"/>
      <c r="AO506" s="133"/>
      <c r="AP506" s="133"/>
      <c r="AQ506" s="133"/>
      <c r="AR506" s="133"/>
      <c r="AS506" s="133"/>
      <c r="AT506" s="133"/>
      <c r="AU506" s="133"/>
      <c r="AV506" s="133"/>
      <c r="AW506" s="133"/>
      <c r="AX506" s="133"/>
      <c r="AY506" s="133"/>
      <c r="AZ506" s="133"/>
      <c r="BA506" s="133"/>
      <c r="BB506" s="133"/>
      <c r="BC506" s="133"/>
      <c r="BD506" s="133"/>
      <c r="BE506" s="133"/>
      <c r="BF506" s="133"/>
      <c r="BG506" s="133"/>
      <c r="BH506" s="133"/>
      <c r="BI506" s="133"/>
      <c r="BJ506" s="133"/>
      <c r="BK506" s="133"/>
      <c r="BL506" s="133"/>
      <c r="BM506" s="133"/>
      <c r="BN506" s="133"/>
      <c r="BO506" s="133"/>
      <c r="BP506" s="133"/>
      <c r="BQ506" s="133"/>
      <c r="BR506" s="133"/>
      <c r="BS506" s="133"/>
      <c r="BT506" s="133"/>
      <c r="BU506" s="133"/>
    </row>
    <row r="507" spans="15:73"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H507" s="133"/>
      <c r="AI507" s="133"/>
      <c r="AJ507" s="133"/>
      <c r="AK507" s="133"/>
      <c r="AL507" s="133"/>
      <c r="AM507" s="133"/>
      <c r="AN507" s="133"/>
      <c r="AO507" s="133"/>
      <c r="AP507" s="133"/>
      <c r="AQ507" s="133"/>
      <c r="AR507" s="133"/>
      <c r="AS507" s="133"/>
      <c r="AT507" s="133"/>
      <c r="AU507" s="133"/>
      <c r="AV507" s="133"/>
      <c r="AW507" s="133"/>
      <c r="AX507" s="133"/>
      <c r="AY507" s="133"/>
      <c r="AZ507" s="133"/>
      <c r="BA507" s="133"/>
      <c r="BB507" s="133"/>
      <c r="BC507" s="133"/>
      <c r="BD507" s="133"/>
      <c r="BE507" s="133"/>
      <c r="BF507" s="133"/>
      <c r="BG507" s="133"/>
      <c r="BH507" s="133"/>
      <c r="BI507" s="133"/>
      <c r="BJ507" s="133"/>
      <c r="BK507" s="133"/>
      <c r="BL507" s="133"/>
      <c r="BM507" s="133"/>
      <c r="BN507" s="133"/>
      <c r="BO507" s="133"/>
      <c r="BP507" s="133"/>
      <c r="BQ507" s="133"/>
      <c r="BR507" s="133"/>
      <c r="BS507" s="133"/>
      <c r="BT507" s="133"/>
      <c r="BU507" s="133"/>
    </row>
    <row r="508" spans="15:73"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H508" s="133"/>
      <c r="AI508" s="133"/>
      <c r="AJ508" s="133"/>
      <c r="AK508" s="133"/>
      <c r="AL508" s="133"/>
      <c r="AM508" s="133"/>
      <c r="AN508" s="133"/>
      <c r="AO508" s="133"/>
      <c r="AP508" s="133"/>
      <c r="AQ508" s="133"/>
      <c r="AR508" s="133"/>
      <c r="AS508" s="133"/>
      <c r="AT508" s="133"/>
      <c r="AU508" s="133"/>
      <c r="AV508" s="133"/>
      <c r="AW508" s="133"/>
      <c r="AX508" s="133"/>
      <c r="AY508" s="133"/>
      <c r="AZ508" s="133"/>
      <c r="BA508" s="133"/>
      <c r="BB508" s="133"/>
      <c r="BC508" s="133"/>
      <c r="BD508" s="133"/>
      <c r="BE508" s="133"/>
      <c r="BF508" s="133"/>
      <c r="BG508" s="133"/>
      <c r="BH508" s="133"/>
      <c r="BI508" s="133"/>
      <c r="BJ508" s="133"/>
      <c r="BK508" s="133"/>
      <c r="BL508" s="133"/>
      <c r="BM508" s="133"/>
      <c r="BN508" s="133"/>
      <c r="BO508" s="133"/>
      <c r="BP508" s="133"/>
      <c r="BQ508" s="133"/>
      <c r="BR508" s="133"/>
      <c r="BS508" s="133"/>
      <c r="BT508" s="133"/>
      <c r="BU508" s="133"/>
    </row>
    <row r="509" spans="15:73"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H509" s="133"/>
      <c r="AI509" s="133"/>
      <c r="AJ509" s="133"/>
      <c r="AK509" s="133"/>
      <c r="AL509" s="133"/>
      <c r="AM509" s="133"/>
      <c r="AN509" s="133"/>
      <c r="AO509" s="133"/>
      <c r="AP509" s="133"/>
      <c r="AQ509" s="133"/>
      <c r="AR509" s="133"/>
      <c r="AS509" s="133"/>
      <c r="AT509" s="133"/>
      <c r="AU509" s="133"/>
      <c r="AV509" s="133"/>
      <c r="AW509" s="133"/>
      <c r="AX509" s="133"/>
      <c r="AY509" s="133"/>
      <c r="AZ509" s="133"/>
      <c r="BA509" s="133"/>
      <c r="BB509" s="133"/>
      <c r="BC509" s="133"/>
      <c r="BD509" s="133"/>
      <c r="BE509" s="133"/>
      <c r="BF509" s="133"/>
      <c r="BG509" s="133"/>
      <c r="BH509" s="133"/>
      <c r="BI509" s="133"/>
      <c r="BJ509" s="133"/>
      <c r="BK509" s="133"/>
      <c r="BL509" s="133"/>
      <c r="BM509" s="133"/>
      <c r="BN509" s="133"/>
      <c r="BO509" s="133"/>
      <c r="BP509" s="133"/>
      <c r="BQ509" s="133"/>
      <c r="BR509" s="133"/>
      <c r="BS509" s="133"/>
      <c r="BT509" s="133"/>
      <c r="BU509" s="133"/>
    </row>
    <row r="510" spans="15:73"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H510" s="133"/>
      <c r="AI510" s="133"/>
      <c r="AJ510" s="133"/>
      <c r="AK510" s="133"/>
      <c r="AL510" s="133"/>
      <c r="AM510" s="133"/>
      <c r="AN510" s="133"/>
      <c r="AO510" s="133"/>
      <c r="AP510" s="133"/>
      <c r="AQ510" s="133"/>
      <c r="AR510" s="133"/>
      <c r="AS510" s="133"/>
      <c r="AT510" s="133"/>
      <c r="AU510" s="133"/>
      <c r="AV510" s="133"/>
      <c r="AW510" s="133"/>
      <c r="AX510" s="133"/>
      <c r="AY510" s="133"/>
      <c r="AZ510" s="133"/>
      <c r="BA510" s="133"/>
      <c r="BB510" s="133"/>
      <c r="BC510" s="133"/>
      <c r="BD510" s="133"/>
      <c r="BE510" s="133"/>
      <c r="BF510" s="133"/>
      <c r="BG510" s="133"/>
      <c r="BH510" s="133"/>
      <c r="BI510" s="133"/>
      <c r="BJ510" s="133"/>
      <c r="BK510" s="133"/>
      <c r="BL510" s="133"/>
      <c r="BM510" s="133"/>
      <c r="BN510" s="133"/>
      <c r="BO510" s="133"/>
      <c r="BP510" s="133"/>
      <c r="BQ510" s="133"/>
      <c r="BR510" s="133"/>
      <c r="BS510" s="133"/>
      <c r="BT510" s="133"/>
      <c r="BU510" s="133"/>
    </row>
    <row r="511" spans="15:73"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H511" s="133"/>
      <c r="AI511" s="133"/>
      <c r="AJ511" s="133"/>
      <c r="AK511" s="133"/>
      <c r="AL511" s="133"/>
      <c r="AM511" s="133"/>
      <c r="AN511" s="133"/>
      <c r="AO511" s="133"/>
      <c r="AP511" s="133"/>
      <c r="AQ511" s="133"/>
      <c r="AR511" s="133"/>
      <c r="AS511" s="133"/>
      <c r="AT511" s="133"/>
      <c r="AU511" s="133"/>
      <c r="AV511" s="133"/>
      <c r="AW511" s="133"/>
      <c r="AX511" s="133"/>
      <c r="AY511" s="133"/>
      <c r="AZ511" s="133"/>
      <c r="BA511" s="133"/>
      <c r="BB511" s="133"/>
      <c r="BC511" s="133"/>
      <c r="BD511" s="133"/>
      <c r="BE511" s="133"/>
      <c r="BF511" s="133"/>
      <c r="BG511" s="133"/>
      <c r="BH511" s="133"/>
      <c r="BI511" s="133"/>
      <c r="BJ511" s="133"/>
      <c r="BK511" s="133"/>
      <c r="BL511" s="133"/>
      <c r="BM511" s="133"/>
      <c r="BN511" s="133"/>
      <c r="BO511" s="133"/>
      <c r="BP511" s="133"/>
      <c r="BQ511" s="133"/>
      <c r="BR511" s="133"/>
      <c r="BS511" s="133"/>
      <c r="BT511" s="133"/>
      <c r="BU511" s="133"/>
    </row>
    <row r="512" spans="15:73"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H512" s="133"/>
      <c r="AI512" s="133"/>
      <c r="AJ512" s="133"/>
      <c r="AK512" s="133"/>
      <c r="AL512" s="133"/>
      <c r="AM512" s="133"/>
      <c r="AN512" s="133"/>
      <c r="AO512" s="133"/>
      <c r="AP512" s="133"/>
      <c r="AQ512" s="133"/>
      <c r="AR512" s="133"/>
      <c r="AS512" s="133"/>
      <c r="AT512" s="133"/>
      <c r="AU512" s="133"/>
      <c r="AV512" s="133"/>
      <c r="AW512" s="133"/>
      <c r="AX512" s="133"/>
      <c r="AY512" s="133"/>
      <c r="AZ512" s="133"/>
      <c r="BA512" s="133"/>
      <c r="BB512" s="133"/>
      <c r="BC512" s="133"/>
      <c r="BD512" s="133"/>
      <c r="BE512" s="133"/>
      <c r="BF512" s="133"/>
      <c r="BG512" s="133"/>
      <c r="BH512" s="133"/>
      <c r="BI512" s="133"/>
      <c r="BJ512" s="133"/>
      <c r="BK512" s="133"/>
      <c r="BL512" s="133"/>
      <c r="BM512" s="133"/>
      <c r="BN512" s="133"/>
      <c r="BO512" s="133"/>
      <c r="BP512" s="133"/>
      <c r="BQ512" s="133"/>
      <c r="BR512" s="133"/>
      <c r="BS512" s="133"/>
      <c r="BT512" s="133"/>
      <c r="BU512" s="133"/>
    </row>
    <row r="513" spans="15:73"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H513" s="133"/>
      <c r="AI513" s="133"/>
      <c r="AJ513" s="133"/>
      <c r="AK513" s="133"/>
      <c r="AL513" s="133"/>
      <c r="AM513" s="133"/>
      <c r="AN513" s="133"/>
      <c r="AO513" s="133"/>
      <c r="AP513" s="133"/>
      <c r="AQ513" s="133"/>
      <c r="AR513" s="133"/>
      <c r="AS513" s="133"/>
      <c r="AT513" s="133"/>
      <c r="AU513" s="133"/>
      <c r="AV513" s="133"/>
      <c r="AW513" s="133"/>
      <c r="AX513" s="133"/>
      <c r="AY513" s="133"/>
      <c r="AZ513" s="133"/>
      <c r="BA513" s="133"/>
      <c r="BB513" s="133"/>
      <c r="BC513" s="133"/>
      <c r="BD513" s="133"/>
      <c r="BE513" s="133"/>
      <c r="BF513" s="133"/>
      <c r="BG513" s="133"/>
      <c r="BH513" s="133"/>
      <c r="BI513" s="133"/>
      <c r="BJ513" s="133"/>
      <c r="BK513" s="133"/>
      <c r="BL513" s="133"/>
      <c r="BM513" s="133"/>
      <c r="BN513" s="133"/>
      <c r="BO513" s="133"/>
      <c r="BP513" s="133"/>
      <c r="BQ513" s="133"/>
      <c r="BR513" s="133"/>
      <c r="BS513" s="133"/>
      <c r="BT513" s="133"/>
      <c r="BU513" s="133"/>
    </row>
    <row r="514" spans="15:73"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H514" s="133"/>
      <c r="AI514" s="133"/>
      <c r="AJ514" s="133"/>
      <c r="AK514" s="133"/>
      <c r="AL514" s="133"/>
      <c r="AM514" s="133"/>
      <c r="AN514" s="133"/>
      <c r="AO514" s="133"/>
      <c r="AP514" s="133"/>
      <c r="AQ514" s="133"/>
      <c r="AR514" s="133"/>
      <c r="AS514" s="133"/>
      <c r="AT514" s="133"/>
      <c r="AU514" s="133"/>
      <c r="AV514" s="133"/>
      <c r="AW514" s="133"/>
      <c r="AX514" s="133"/>
      <c r="AY514" s="133"/>
      <c r="AZ514" s="133"/>
      <c r="BA514" s="133"/>
      <c r="BB514" s="133"/>
      <c r="BC514" s="133"/>
      <c r="BD514" s="133"/>
      <c r="BE514" s="133"/>
      <c r="BF514" s="133"/>
      <c r="BG514" s="133"/>
      <c r="BH514" s="133"/>
      <c r="BI514" s="133"/>
      <c r="BJ514" s="133"/>
      <c r="BK514" s="133"/>
      <c r="BL514" s="133"/>
      <c r="BM514" s="133"/>
      <c r="BN514" s="133"/>
      <c r="BO514" s="133"/>
      <c r="BP514" s="133"/>
      <c r="BQ514" s="133"/>
      <c r="BR514" s="133"/>
      <c r="BS514" s="133"/>
      <c r="BT514" s="133"/>
      <c r="BU514" s="133"/>
    </row>
    <row r="515" spans="15:73"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H515" s="133"/>
      <c r="AI515" s="133"/>
      <c r="AJ515" s="133"/>
      <c r="AK515" s="133"/>
      <c r="AL515" s="133"/>
      <c r="AM515" s="133"/>
      <c r="AN515" s="133"/>
      <c r="AO515" s="133"/>
      <c r="AP515" s="133"/>
      <c r="AQ515" s="133"/>
      <c r="AR515" s="133"/>
      <c r="AS515" s="133"/>
      <c r="AT515" s="133"/>
      <c r="AU515" s="133"/>
      <c r="AV515" s="133"/>
      <c r="AW515" s="133"/>
      <c r="AX515" s="133"/>
      <c r="AY515" s="133"/>
      <c r="AZ515" s="133"/>
      <c r="BA515" s="133"/>
      <c r="BB515" s="133"/>
      <c r="BC515" s="133"/>
      <c r="BD515" s="133"/>
      <c r="BE515" s="133"/>
      <c r="BF515" s="133"/>
      <c r="BG515" s="133"/>
      <c r="BH515" s="133"/>
      <c r="BI515" s="133"/>
      <c r="BJ515" s="133"/>
      <c r="BK515" s="133"/>
      <c r="BL515" s="133"/>
      <c r="BM515" s="133"/>
      <c r="BN515" s="133"/>
      <c r="BO515" s="133"/>
      <c r="BP515" s="133"/>
      <c r="BQ515" s="133"/>
      <c r="BR515" s="133"/>
      <c r="BS515" s="133"/>
      <c r="BT515" s="133"/>
      <c r="BU515" s="133"/>
    </row>
    <row r="516" spans="15:73"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H516" s="133"/>
      <c r="AI516" s="133"/>
      <c r="AJ516" s="133"/>
      <c r="AK516" s="133"/>
      <c r="AL516" s="133"/>
      <c r="AM516" s="133"/>
      <c r="AN516" s="133"/>
      <c r="AO516" s="133"/>
      <c r="AP516" s="133"/>
      <c r="AQ516" s="133"/>
      <c r="AR516" s="133"/>
      <c r="AS516" s="133"/>
      <c r="AT516" s="133"/>
      <c r="AU516" s="133"/>
      <c r="AV516" s="133"/>
      <c r="AW516" s="133"/>
      <c r="AX516" s="133"/>
      <c r="AY516" s="133"/>
      <c r="AZ516" s="133"/>
      <c r="BA516" s="133"/>
      <c r="BB516" s="133"/>
      <c r="BC516" s="133"/>
      <c r="BD516" s="133"/>
      <c r="BE516" s="133"/>
      <c r="BF516" s="133"/>
      <c r="BG516" s="133"/>
      <c r="BH516" s="133"/>
      <c r="BI516" s="133"/>
      <c r="BJ516" s="133"/>
      <c r="BK516" s="133"/>
      <c r="BL516" s="133"/>
      <c r="BM516" s="133"/>
      <c r="BN516" s="133"/>
      <c r="BO516" s="133"/>
      <c r="BP516" s="133"/>
      <c r="BQ516" s="133"/>
      <c r="BR516" s="133"/>
      <c r="BS516" s="133"/>
      <c r="BT516" s="133"/>
      <c r="BU516" s="133"/>
    </row>
    <row r="517" spans="15:73"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  <c r="AF517" s="133"/>
      <c r="AG517" s="133"/>
      <c r="AH517" s="133"/>
      <c r="AI517" s="133"/>
      <c r="AJ517" s="133"/>
      <c r="AK517" s="133"/>
      <c r="AL517" s="133"/>
      <c r="AM517" s="133"/>
      <c r="AN517" s="133"/>
      <c r="AO517" s="133"/>
      <c r="AP517" s="133"/>
      <c r="AQ517" s="133"/>
      <c r="AR517" s="133"/>
      <c r="AS517" s="133"/>
      <c r="AT517" s="133"/>
      <c r="AU517" s="133"/>
      <c r="AV517" s="133"/>
      <c r="AW517" s="133"/>
      <c r="AX517" s="133"/>
      <c r="AY517" s="133"/>
      <c r="AZ517" s="133"/>
      <c r="BA517" s="133"/>
      <c r="BB517" s="133"/>
      <c r="BC517" s="133"/>
      <c r="BD517" s="133"/>
      <c r="BE517" s="133"/>
      <c r="BF517" s="133"/>
      <c r="BG517" s="133"/>
      <c r="BH517" s="133"/>
      <c r="BI517" s="133"/>
      <c r="BJ517" s="133"/>
      <c r="BK517" s="133"/>
      <c r="BL517" s="133"/>
      <c r="BM517" s="133"/>
      <c r="BN517" s="133"/>
      <c r="BO517" s="133"/>
      <c r="BP517" s="133"/>
      <c r="BQ517" s="133"/>
      <c r="BR517" s="133"/>
      <c r="BS517" s="133"/>
      <c r="BT517" s="133"/>
      <c r="BU517" s="133"/>
    </row>
    <row r="518" spans="15:73"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  <c r="AF518" s="133"/>
      <c r="AG518" s="133"/>
      <c r="AH518" s="133"/>
      <c r="AI518" s="133"/>
      <c r="AJ518" s="133"/>
      <c r="AK518" s="133"/>
      <c r="AL518" s="133"/>
      <c r="AM518" s="133"/>
      <c r="AN518" s="133"/>
      <c r="AO518" s="133"/>
      <c r="AP518" s="133"/>
      <c r="AQ518" s="133"/>
      <c r="AR518" s="133"/>
      <c r="AS518" s="133"/>
      <c r="AT518" s="133"/>
      <c r="AU518" s="133"/>
      <c r="AV518" s="133"/>
      <c r="AW518" s="133"/>
      <c r="AX518" s="133"/>
      <c r="AY518" s="133"/>
      <c r="AZ518" s="133"/>
      <c r="BA518" s="133"/>
      <c r="BB518" s="133"/>
      <c r="BC518" s="133"/>
      <c r="BD518" s="133"/>
      <c r="BE518" s="133"/>
      <c r="BF518" s="133"/>
      <c r="BG518" s="133"/>
      <c r="BH518" s="133"/>
      <c r="BI518" s="133"/>
      <c r="BJ518" s="133"/>
      <c r="BK518" s="133"/>
      <c r="BL518" s="133"/>
      <c r="BM518" s="133"/>
      <c r="BN518" s="133"/>
      <c r="BO518" s="133"/>
      <c r="BP518" s="133"/>
      <c r="BQ518" s="133"/>
      <c r="BR518" s="133"/>
      <c r="BS518" s="133"/>
      <c r="BT518" s="133"/>
      <c r="BU518" s="133"/>
    </row>
    <row r="519" spans="15:73"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  <c r="AF519" s="133"/>
      <c r="AG519" s="133"/>
      <c r="AH519" s="133"/>
      <c r="AI519" s="133"/>
      <c r="AJ519" s="133"/>
      <c r="AK519" s="133"/>
      <c r="AL519" s="133"/>
      <c r="AM519" s="133"/>
      <c r="AN519" s="133"/>
      <c r="AO519" s="133"/>
      <c r="AP519" s="133"/>
      <c r="AQ519" s="133"/>
      <c r="AR519" s="133"/>
      <c r="AS519" s="133"/>
      <c r="AT519" s="133"/>
      <c r="AU519" s="133"/>
      <c r="AV519" s="133"/>
      <c r="AW519" s="133"/>
      <c r="AX519" s="133"/>
      <c r="AY519" s="133"/>
      <c r="AZ519" s="133"/>
      <c r="BA519" s="133"/>
      <c r="BB519" s="133"/>
      <c r="BC519" s="133"/>
      <c r="BD519" s="133"/>
      <c r="BE519" s="133"/>
      <c r="BF519" s="133"/>
      <c r="BG519" s="133"/>
      <c r="BH519" s="133"/>
      <c r="BI519" s="133"/>
      <c r="BJ519" s="133"/>
      <c r="BK519" s="133"/>
      <c r="BL519" s="133"/>
      <c r="BM519" s="133"/>
      <c r="BN519" s="133"/>
      <c r="BO519" s="133"/>
      <c r="BP519" s="133"/>
      <c r="BQ519" s="133"/>
      <c r="BR519" s="133"/>
      <c r="BS519" s="133"/>
      <c r="BT519" s="133"/>
      <c r="BU519" s="133"/>
    </row>
    <row r="520" spans="15:73"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  <c r="AF520" s="133"/>
      <c r="AG520" s="133"/>
      <c r="AH520" s="133"/>
      <c r="AI520" s="133"/>
      <c r="AJ520" s="133"/>
      <c r="AK520" s="133"/>
      <c r="AL520" s="133"/>
      <c r="AM520" s="133"/>
      <c r="AN520" s="133"/>
      <c r="AO520" s="133"/>
      <c r="AP520" s="133"/>
      <c r="AQ520" s="133"/>
      <c r="AR520" s="133"/>
      <c r="AS520" s="133"/>
      <c r="AT520" s="133"/>
      <c r="AU520" s="133"/>
      <c r="AV520" s="133"/>
      <c r="AW520" s="133"/>
      <c r="AX520" s="133"/>
      <c r="AY520" s="133"/>
      <c r="AZ520" s="133"/>
      <c r="BA520" s="133"/>
      <c r="BB520" s="133"/>
      <c r="BC520" s="133"/>
      <c r="BD520" s="133"/>
      <c r="BE520" s="133"/>
      <c r="BF520" s="133"/>
      <c r="BG520" s="133"/>
      <c r="BH520" s="133"/>
      <c r="BI520" s="133"/>
      <c r="BJ520" s="133"/>
      <c r="BK520" s="133"/>
      <c r="BL520" s="133"/>
      <c r="BM520" s="133"/>
      <c r="BN520" s="133"/>
      <c r="BO520" s="133"/>
      <c r="BP520" s="133"/>
      <c r="BQ520" s="133"/>
      <c r="BR520" s="133"/>
      <c r="BS520" s="133"/>
      <c r="BT520" s="133"/>
      <c r="BU520" s="133"/>
    </row>
    <row r="521" spans="15:73"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  <c r="AF521" s="133"/>
      <c r="AG521" s="133"/>
      <c r="AH521" s="133"/>
      <c r="AI521" s="133"/>
      <c r="AJ521" s="133"/>
      <c r="AK521" s="133"/>
      <c r="AL521" s="133"/>
      <c r="AM521" s="133"/>
      <c r="AN521" s="133"/>
      <c r="AO521" s="133"/>
      <c r="AP521" s="133"/>
      <c r="AQ521" s="133"/>
      <c r="AR521" s="133"/>
      <c r="AS521" s="133"/>
      <c r="AT521" s="133"/>
      <c r="AU521" s="133"/>
      <c r="AV521" s="133"/>
      <c r="AW521" s="133"/>
      <c r="AX521" s="133"/>
      <c r="AY521" s="133"/>
      <c r="AZ521" s="133"/>
      <c r="BA521" s="133"/>
      <c r="BB521" s="133"/>
      <c r="BC521" s="133"/>
      <c r="BD521" s="133"/>
      <c r="BE521" s="133"/>
      <c r="BF521" s="133"/>
      <c r="BG521" s="133"/>
      <c r="BH521" s="133"/>
      <c r="BI521" s="133"/>
      <c r="BJ521" s="133"/>
      <c r="BK521" s="133"/>
      <c r="BL521" s="133"/>
      <c r="BM521" s="133"/>
      <c r="BN521" s="133"/>
      <c r="BO521" s="133"/>
      <c r="BP521" s="133"/>
      <c r="BQ521" s="133"/>
      <c r="BR521" s="133"/>
      <c r="BS521" s="133"/>
      <c r="BT521" s="133"/>
      <c r="BU521" s="133"/>
    </row>
    <row r="522" spans="15:73"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  <c r="AF522" s="133"/>
      <c r="AG522" s="133"/>
      <c r="AH522" s="133"/>
      <c r="AI522" s="133"/>
      <c r="AJ522" s="133"/>
      <c r="AK522" s="133"/>
      <c r="AL522" s="133"/>
      <c r="AM522" s="133"/>
      <c r="AN522" s="133"/>
      <c r="AO522" s="133"/>
      <c r="AP522" s="133"/>
      <c r="AQ522" s="133"/>
      <c r="AR522" s="133"/>
      <c r="AS522" s="133"/>
      <c r="AT522" s="133"/>
      <c r="AU522" s="133"/>
      <c r="AV522" s="133"/>
      <c r="AW522" s="133"/>
      <c r="AX522" s="133"/>
      <c r="AY522" s="133"/>
      <c r="AZ522" s="133"/>
      <c r="BA522" s="133"/>
      <c r="BB522" s="133"/>
      <c r="BC522" s="133"/>
      <c r="BD522" s="133"/>
      <c r="BE522" s="133"/>
      <c r="BF522" s="133"/>
      <c r="BG522" s="133"/>
      <c r="BH522" s="133"/>
      <c r="BI522" s="133"/>
      <c r="BJ522" s="133"/>
      <c r="BK522" s="133"/>
      <c r="BL522" s="133"/>
      <c r="BM522" s="133"/>
      <c r="BN522" s="133"/>
      <c r="BO522" s="133"/>
      <c r="BP522" s="133"/>
      <c r="BQ522" s="133"/>
      <c r="BR522" s="133"/>
      <c r="BS522" s="133"/>
      <c r="BT522" s="133"/>
      <c r="BU522" s="133"/>
    </row>
    <row r="523" spans="15:73"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  <c r="AF523" s="133"/>
      <c r="AG523" s="133"/>
      <c r="AH523" s="133"/>
      <c r="AI523" s="133"/>
      <c r="AJ523" s="133"/>
      <c r="AK523" s="133"/>
      <c r="AL523" s="133"/>
      <c r="AM523" s="133"/>
      <c r="AN523" s="133"/>
      <c r="AO523" s="133"/>
      <c r="AP523" s="133"/>
      <c r="AQ523" s="133"/>
      <c r="AR523" s="133"/>
      <c r="AS523" s="133"/>
      <c r="AT523" s="133"/>
      <c r="AU523" s="133"/>
      <c r="AV523" s="133"/>
      <c r="AW523" s="133"/>
      <c r="AX523" s="133"/>
      <c r="AY523" s="133"/>
      <c r="AZ523" s="133"/>
      <c r="BA523" s="133"/>
      <c r="BB523" s="133"/>
      <c r="BC523" s="133"/>
      <c r="BD523" s="133"/>
      <c r="BE523" s="133"/>
      <c r="BF523" s="133"/>
      <c r="BG523" s="133"/>
      <c r="BH523" s="133"/>
      <c r="BI523" s="133"/>
      <c r="BJ523" s="133"/>
      <c r="BK523" s="133"/>
      <c r="BL523" s="133"/>
      <c r="BM523" s="133"/>
      <c r="BN523" s="133"/>
      <c r="BO523" s="133"/>
      <c r="BP523" s="133"/>
      <c r="BQ523" s="133"/>
      <c r="BR523" s="133"/>
      <c r="BS523" s="133"/>
      <c r="BT523" s="133"/>
      <c r="BU523" s="133"/>
    </row>
    <row r="524" spans="15:73"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  <c r="AF524" s="133"/>
      <c r="AG524" s="133"/>
      <c r="AH524" s="133"/>
      <c r="AI524" s="133"/>
      <c r="AJ524" s="133"/>
      <c r="AK524" s="133"/>
      <c r="AL524" s="133"/>
      <c r="AM524" s="133"/>
      <c r="AN524" s="133"/>
      <c r="AO524" s="133"/>
      <c r="AP524" s="133"/>
      <c r="AQ524" s="133"/>
      <c r="AR524" s="133"/>
      <c r="AS524" s="133"/>
      <c r="AT524" s="133"/>
      <c r="AU524" s="133"/>
      <c r="AV524" s="133"/>
      <c r="AW524" s="133"/>
      <c r="AX524" s="133"/>
      <c r="AY524" s="133"/>
      <c r="AZ524" s="133"/>
      <c r="BA524" s="133"/>
      <c r="BB524" s="133"/>
      <c r="BC524" s="133"/>
      <c r="BD524" s="133"/>
      <c r="BE524" s="133"/>
      <c r="BF524" s="133"/>
      <c r="BG524" s="133"/>
      <c r="BH524" s="133"/>
      <c r="BI524" s="133"/>
      <c r="BJ524" s="133"/>
      <c r="BK524" s="133"/>
      <c r="BL524" s="133"/>
      <c r="BM524" s="133"/>
      <c r="BN524" s="133"/>
      <c r="BO524" s="133"/>
      <c r="BP524" s="133"/>
      <c r="BQ524" s="133"/>
      <c r="BR524" s="133"/>
      <c r="BS524" s="133"/>
      <c r="BT524" s="133"/>
      <c r="BU524" s="133"/>
    </row>
    <row r="525" spans="15:73"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  <c r="AF525" s="133"/>
      <c r="AG525" s="133"/>
      <c r="AH525" s="133"/>
      <c r="AI525" s="133"/>
      <c r="AJ525" s="133"/>
      <c r="AK525" s="133"/>
      <c r="AL525" s="133"/>
      <c r="AM525" s="133"/>
      <c r="AN525" s="133"/>
      <c r="AO525" s="133"/>
      <c r="AP525" s="133"/>
      <c r="AQ525" s="133"/>
      <c r="AR525" s="133"/>
      <c r="AS525" s="133"/>
      <c r="AT525" s="133"/>
      <c r="AU525" s="133"/>
      <c r="AV525" s="133"/>
      <c r="AW525" s="133"/>
      <c r="AX525" s="133"/>
      <c r="AY525" s="133"/>
      <c r="AZ525" s="133"/>
      <c r="BA525" s="133"/>
      <c r="BB525" s="133"/>
      <c r="BC525" s="133"/>
      <c r="BD525" s="133"/>
      <c r="BE525" s="133"/>
      <c r="BF525" s="133"/>
      <c r="BG525" s="133"/>
      <c r="BH525" s="133"/>
      <c r="BI525" s="133"/>
      <c r="BJ525" s="133"/>
      <c r="BK525" s="133"/>
      <c r="BL525" s="133"/>
      <c r="BM525" s="133"/>
      <c r="BN525" s="133"/>
      <c r="BO525" s="133"/>
      <c r="BP525" s="133"/>
      <c r="BQ525" s="133"/>
      <c r="BR525" s="133"/>
      <c r="BS525" s="133"/>
      <c r="BT525" s="133"/>
      <c r="BU525" s="133"/>
    </row>
    <row r="526" spans="15:73"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  <c r="AF526" s="133"/>
      <c r="AG526" s="133"/>
      <c r="AH526" s="133"/>
      <c r="AI526" s="133"/>
      <c r="AJ526" s="133"/>
      <c r="AK526" s="133"/>
      <c r="AL526" s="133"/>
      <c r="AM526" s="133"/>
      <c r="AN526" s="133"/>
      <c r="AO526" s="133"/>
      <c r="AP526" s="133"/>
      <c r="AQ526" s="133"/>
      <c r="AR526" s="133"/>
      <c r="AS526" s="133"/>
      <c r="AT526" s="133"/>
      <c r="AU526" s="133"/>
      <c r="AV526" s="133"/>
      <c r="AW526" s="133"/>
      <c r="AX526" s="133"/>
      <c r="AY526" s="133"/>
      <c r="AZ526" s="133"/>
      <c r="BA526" s="133"/>
      <c r="BB526" s="133"/>
      <c r="BC526" s="133"/>
      <c r="BD526" s="133"/>
      <c r="BE526" s="133"/>
      <c r="BF526" s="133"/>
      <c r="BG526" s="133"/>
      <c r="BH526" s="133"/>
      <c r="BI526" s="133"/>
      <c r="BJ526" s="133"/>
      <c r="BK526" s="133"/>
      <c r="BL526" s="133"/>
      <c r="BM526" s="133"/>
      <c r="BN526" s="133"/>
      <c r="BO526" s="133"/>
      <c r="BP526" s="133"/>
      <c r="BQ526" s="133"/>
      <c r="BR526" s="133"/>
      <c r="BS526" s="133"/>
      <c r="BT526" s="133"/>
      <c r="BU526" s="133"/>
    </row>
    <row r="527" spans="15:73"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  <c r="AF527" s="133"/>
      <c r="AG527" s="133"/>
      <c r="AH527" s="133"/>
      <c r="AI527" s="133"/>
      <c r="AJ527" s="133"/>
      <c r="AK527" s="133"/>
      <c r="AL527" s="133"/>
      <c r="AM527" s="133"/>
      <c r="AN527" s="133"/>
      <c r="AO527" s="133"/>
      <c r="AP527" s="133"/>
      <c r="AQ527" s="133"/>
      <c r="AR527" s="133"/>
      <c r="AS527" s="133"/>
      <c r="AT527" s="133"/>
      <c r="AU527" s="133"/>
      <c r="AV527" s="133"/>
      <c r="AW527" s="133"/>
      <c r="AX527" s="133"/>
      <c r="AY527" s="133"/>
      <c r="AZ527" s="133"/>
      <c r="BA527" s="133"/>
      <c r="BB527" s="133"/>
      <c r="BC527" s="133"/>
      <c r="BD527" s="133"/>
      <c r="BE527" s="133"/>
      <c r="BF527" s="133"/>
      <c r="BG527" s="133"/>
      <c r="BH527" s="133"/>
      <c r="BI527" s="133"/>
      <c r="BJ527" s="133"/>
      <c r="BK527" s="133"/>
      <c r="BL527" s="133"/>
      <c r="BM527" s="133"/>
      <c r="BN527" s="133"/>
      <c r="BO527" s="133"/>
      <c r="BP527" s="133"/>
      <c r="BQ527" s="133"/>
      <c r="BR527" s="133"/>
      <c r="BS527" s="133"/>
      <c r="BT527" s="133"/>
      <c r="BU527" s="133"/>
    </row>
    <row r="528" spans="15:73"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  <c r="AF528" s="133"/>
      <c r="AG528" s="133"/>
      <c r="AH528" s="133"/>
      <c r="AI528" s="133"/>
      <c r="AJ528" s="133"/>
      <c r="AK528" s="133"/>
      <c r="AL528" s="133"/>
      <c r="AM528" s="133"/>
      <c r="AN528" s="133"/>
      <c r="AO528" s="133"/>
      <c r="AP528" s="133"/>
      <c r="AQ528" s="133"/>
      <c r="AR528" s="133"/>
      <c r="AS528" s="133"/>
      <c r="AT528" s="133"/>
      <c r="AU528" s="133"/>
      <c r="AV528" s="133"/>
      <c r="AW528" s="133"/>
      <c r="AX528" s="133"/>
      <c r="AY528" s="133"/>
      <c r="AZ528" s="133"/>
      <c r="BA528" s="133"/>
      <c r="BB528" s="133"/>
      <c r="BC528" s="133"/>
      <c r="BD528" s="133"/>
      <c r="BE528" s="133"/>
      <c r="BF528" s="133"/>
      <c r="BG528" s="133"/>
      <c r="BH528" s="133"/>
      <c r="BI528" s="133"/>
      <c r="BJ528" s="133"/>
      <c r="BK528" s="133"/>
      <c r="BL528" s="133"/>
      <c r="BM528" s="133"/>
      <c r="BN528" s="133"/>
      <c r="BO528" s="133"/>
      <c r="BP528" s="133"/>
      <c r="BQ528" s="133"/>
      <c r="BR528" s="133"/>
      <c r="BS528" s="133"/>
      <c r="BT528" s="133"/>
      <c r="BU528" s="133"/>
    </row>
    <row r="529" spans="15:73"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  <c r="AF529" s="133"/>
      <c r="AG529" s="133"/>
      <c r="AH529" s="133"/>
      <c r="AI529" s="133"/>
      <c r="AJ529" s="133"/>
      <c r="AK529" s="133"/>
      <c r="AL529" s="133"/>
      <c r="AM529" s="133"/>
      <c r="AN529" s="133"/>
      <c r="AO529" s="133"/>
      <c r="AP529" s="133"/>
      <c r="AQ529" s="133"/>
      <c r="AR529" s="133"/>
      <c r="AS529" s="133"/>
      <c r="AT529" s="133"/>
      <c r="AU529" s="133"/>
      <c r="AV529" s="133"/>
      <c r="AW529" s="133"/>
      <c r="AX529" s="133"/>
      <c r="AY529" s="133"/>
      <c r="AZ529" s="133"/>
      <c r="BA529" s="133"/>
      <c r="BB529" s="133"/>
      <c r="BC529" s="133"/>
      <c r="BD529" s="133"/>
      <c r="BE529" s="133"/>
      <c r="BF529" s="133"/>
      <c r="BG529" s="133"/>
      <c r="BH529" s="133"/>
      <c r="BI529" s="133"/>
      <c r="BJ529" s="133"/>
      <c r="BK529" s="133"/>
      <c r="BL529" s="133"/>
      <c r="BM529" s="133"/>
      <c r="BN529" s="133"/>
      <c r="BO529" s="133"/>
      <c r="BP529" s="133"/>
      <c r="BQ529" s="133"/>
      <c r="BR529" s="133"/>
      <c r="BS529" s="133"/>
      <c r="BT529" s="133"/>
      <c r="BU529" s="133"/>
    </row>
    <row r="530" spans="15:73"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  <c r="AF530" s="133"/>
      <c r="AG530" s="133"/>
      <c r="AH530" s="133"/>
      <c r="AI530" s="133"/>
      <c r="AJ530" s="133"/>
      <c r="AK530" s="133"/>
      <c r="AL530" s="133"/>
      <c r="AM530" s="133"/>
      <c r="AN530" s="133"/>
      <c r="AO530" s="133"/>
      <c r="AP530" s="133"/>
      <c r="AQ530" s="133"/>
      <c r="AR530" s="133"/>
      <c r="AS530" s="133"/>
      <c r="AT530" s="133"/>
      <c r="AU530" s="133"/>
      <c r="AV530" s="133"/>
      <c r="AW530" s="133"/>
      <c r="AX530" s="133"/>
      <c r="AY530" s="133"/>
      <c r="AZ530" s="133"/>
      <c r="BA530" s="133"/>
      <c r="BB530" s="133"/>
      <c r="BC530" s="133"/>
      <c r="BD530" s="133"/>
      <c r="BE530" s="133"/>
      <c r="BF530" s="133"/>
      <c r="BG530" s="133"/>
      <c r="BH530" s="133"/>
      <c r="BI530" s="133"/>
      <c r="BJ530" s="133"/>
      <c r="BK530" s="133"/>
      <c r="BL530" s="133"/>
      <c r="BM530" s="133"/>
      <c r="BN530" s="133"/>
      <c r="BO530" s="133"/>
      <c r="BP530" s="133"/>
      <c r="BQ530" s="133"/>
      <c r="BR530" s="133"/>
      <c r="BS530" s="133"/>
      <c r="BT530" s="133"/>
      <c r="BU530" s="133"/>
    </row>
    <row r="531" spans="15:73"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  <c r="AF531" s="133"/>
      <c r="AG531" s="133"/>
      <c r="AH531" s="133"/>
      <c r="AI531" s="133"/>
      <c r="AJ531" s="133"/>
      <c r="AK531" s="133"/>
      <c r="AL531" s="133"/>
      <c r="AM531" s="133"/>
      <c r="AN531" s="133"/>
      <c r="AO531" s="133"/>
      <c r="AP531" s="133"/>
      <c r="AQ531" s="133"/>
      <c r="AR531" s="133"/>
      <c r="AS531" s="133"/>
      <c r="AT531" s="133"/>
      <c r="AU531" s="133"/>
      <c r="AV531" s="133"/>
      <c r="AW531" s="133"/>
      <c r="AX531" s="133"/>
      <c r="AY531" s="133"/>
      <c r="AZ531" s="133"/>
      <c r="BA531" s="133"/>
      <c r="BB531" s="133"/>
      <c r="BC531" s="133"/>
      <c r="BD531" s="133"/>
      <c r="BE531" s="133"/>
      <c r="BF531" s="133"/>
      <c r="BG531" s="133"/>
      <c r="BH531" s="133"/>
      <c r="BI531" s="133"/>
      <c r="BJ531" s="133"/>
      <c r="BK531" s="133"/>
      <c r="BL531" s="133"/>
      <c r="BM531" s="133"/>
      <c r="BN531" s="133"/>
      <c r="BO531" s="133"/>
      <c r="BP531" s="133"/>
      <c r="BQ531" s="133"/>
      <c r="BR531" s="133"/>
      <c r="BS531" s="133"/>
      <c r="BT531" s="133"/>
      <c r="BU531" s="133"/>
    </row>
    <row r="532" spans="15:73"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  <c r="AF532" s="133"/>
      <c r="AG532" s="133"/>
      <c r="AH532" s="133"/>
      <c r="AI532" s="133"/>
      <c r="AJ532" s="133"/>
      <c r="AK532" s="133"/>
      <c r="AL532" s="133"/>
      <c r="AM532" s="133"/>
      <c r="AN532" s="133"/>
      <c r="AO532" s="133"/>
      <c r="AP532" s="133"/>
      <c r="AQ532" s="133"/>
      <c r="AR532" s="133"/>
      <c r="AS532" s="133"/>
      <c r="AT532" s="133"/>
      <c r="AU532" s="133"/>
      <c r="AV532" s="133"/>
      <c r="AW532" s="133"/>
      <c r="AX532" s="133"/>
      <c r="AY532" s="133"/>
      <c r="AZ532" s="133"/>
      <c r="BA532" s="133"/>
      <c r="BB532" s="133"/>
      <c r="BC532" s="133"/>
      <c r="BD532" s="133"/>
      <c r="BE532" s="133"/>
      <c r="BF532" s="133"/>
      <c r="BG532" s="133"/>
      <c r="BH532" s="133"/>
      <c r="BI532" s="133"/>
      <c r="BJ532" s="133"/>
      <c r="BK532" s="133"/>
      <c r="BL532" s="133"/>
      <c r="BM532" s="133"/>
      <c r="BN532" s="133"/>
      <c r="BO532" s="133"/>
      <c r="BP532" s="133"/>
      <c r="BQ532" s="133"/>
      <c r="BR532" s="133"/>
      <c r="BS532" s="133"/>
      <c r="BT532" s="133"/>
      <c r="BU532" s="133"/>
    </row>
    <row r="533" spans="15:73"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  <c r="AF533" s="133"/>
      <c r="AG533" s="133"/>
      <c r="AH533" s="133"/>
      <c r="AI533" s="133"/>
      <c r="AJ533" s="133"/>
      <c r="AK533" s="133"/>
      <c r="AL533" s="133"/>
      <c r="AM533" s="133"/>
      <c r="AN533" s="133"/>
      <c r="AO533" s="133"/>
      <c r="AP533" s="133"/>
      <c r="AQ533" s="133"/>
      <c r="AR533" s="133"/>
      <c r="AS533" s="133"/>
      <c r="AT533" s="133"/>
      <c r="AU533" s="133"/>
      <c r="AV533" s="133"/>
      <c r="AW533" s="133"/>
      <c r="AX533" s="133"/>
      <c r="AY533" s="133"/>
      <c r="AZ533" s="133"/>
      <c r="BA533" s="133"/>
      <c r="BB533" s="133"/>
      <c r="BC533" s="133"/>
      <c r="BD533" s="133"/>
      <c r="BE533" s="133"/>
      <c r="BF533" s="133"/>
      <c r="BG533" s="133"/>
      <c r="BH533" s="133"/>
      <c r="BI533" s="133"/>
      <c r="BJ533" s="133"/>
      <c r="BK533" s="133"/>
      <c r="BL533" s="133"/>
      <c r="BM533" s="133"/>
      <c r="BN533" s="133"/>
      <c r="BO533" s="133"/>
      <c r="BP533" s="133"/>
      <c r="BQ533" s="133"/>
      <c r="BR533" s="133"/>
      <c r="BS533" s="133"/>
      <c r="BT533" s="133"/>
      <c r="BU533" s="133"/>
    </row>
    <row r="534" spans="15:73"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  <c r="AF534" s="133"/>
      <c r="AG534" s="133"/>
      <c r="AH534" s="133"/>
      <c r="AI534" s="133"/>
      <c r="AJ534" s="133"/>
      <c r="AK534" s="133"/>
      <c r="AL534" s="133"/>
      <c r="AM534" s="133"/>
      <c r="AN534" s="133"/>
      <c r="AO534" s="133"/>
      <c r="AP534" s="133"/>
      <c r="AQ534" s="133"/>
      <c r="AR534" s="133"/>
      <c r="AS534" s="133"/>
      <c r="AT534" s="133"/>
      <c r="AU534" s="133"/>
      <c r="AV534" s="133"/>
      <c r="AW534" s="133"/>
      <c r="AX534" s="133"/>
      <c r="AY534" s="133"/>
      <c r="AZ534" s="133"/>
      <c r="BA534" s="133"/>
      <c r="BB534" s="133"/>
      <c r="BC534" s="133"/>
      <c r="BD534" s="133"/>
      <c r="BE534" s="133"/>
      <c r="BF534" s="133"/>
      <c r="BG534" s="133"/>
      <c r="BH534" s="133"/>
      <c r="BI534" s="133"/>
      <c r="BJ534" s="133"/>
      <c r="BK534" s="133"/>
      <c r="BL534" s="133"/>
      <c r="BM534" s="133"/>
      <c r="BN534" s="133"/>
      <c r="BO534" s="133"/>
      <c r="BP534" s="133"/>
      <c r="BQ534" s="133"/>
      <c r="BR534" s="133"/>
      <c r="BS534" s="133"/>
      <c r="BT534" s="133"/>
      <c r="BU534" s="133"/>
    </row>
    <row r="535" spans="15:73"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  <c r="AF535" s="133"/>
      <c r="AG535" s="133"/>
      <c r="AH535" s="133"/>
      <c r="AI535" s="133"/>
      <c r="AJ535" s="133"/>
      <c r="AK535" s="133"/>
      <c r="AL535" s="133"/>
      <c r="AM535" s="133"/>
      <c r="AN535" s="133"/>
      <c r="AO535" s="133"/>
      <c r="AP535" s="133"/>
      <c r="AQ535" s="133"/>
      <c r="AR535" s="133"/>
      <c r="AS535" s="133"/>
      <c r="AT535" s="133"/>
      <c r="AU535" s="133"/>
      <c r="AV535" s="133"/>
      <c r="AW535" s="133"/>
      <c r="AX535" s="133"/>
      <c r="AY535" s="133"/>
      <c r="AZ535" s="133"/>
      <c r="BA535" s="133"/>
      <c r="BB535" s="133"/>
      <c r="BC535" s="133"/>
      <c r="BD535" s="133"/>
      <c r="BE535" s="133"/>
      <c r="BF535" s="133"/>
      <c r="BG535" s="133"/>
      <c r="BH535" s="133"/>
      <c r="BI535" s="133"/>
      <c r="BJ535" s="133"/>
      <c r="BK535" s="133"/>
      <c r="BL535" s="133"/>
      <c r="BM535" s="133"/>
      <c r="BN535" s="133"/>
      <c r="BO535" s="133"/>
      <c r="BP535" s="133"/>
      <c r="BQ535" s="133"/>
      <c r="BR535" s="133"/>
      <c r="BS535" s="133"/>
      <c r="BT535" s="133"/>
      <c r="BU535" s="133"/>
    </row>
    <row r="536" spans="15:73"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  <c r="AF536" s="133"/>
      <c r="AG536" s="133"/>
      <c r="AH536" s="133"/>
      <c r="AI536" s="133"/>
      <c r="AJ536" s="133"/>
      <c r="AK536" s="133"/>
      <c r="AL536" s="133"/>
      <c r="AM536" s="133"/>
      <c r="AN536" s="133"/>
      <c r="AO536" s="133"/>
      <c r="AP536" s="133"/>
      <c r="AQ536" s="133"/>
      <c r="AR536" s="133"/>
      <c r="AS536" s="133"/>
      <c r="AT536" s="133"/>
      <c r="AU536" s="133"/>
      <c r="AV536" s="133"/>
      <c r="AW536" s="133"/>
      <c r="AX536" s="133"/>
      <c r="AY536" s="133"/>
      <c r="AZ536" s="133"/>
      <c r="BA536" s="133"/>
      <c r="BB536" s="133"/>
      <c r="BC536" s="133"/>
      <c r="BD536" s="133"/>
      <c r="BE536" s="133"/>
      <c r="BF536" s="133"/>
      <c r="BG536" s="133"/>
      <c r="BH536" s="133"/>
      <c r="BI536" s="133"/>
      <c r="BJ536" s="133"/>
      <c r="BK536" s="133"/>
      <c r="BL536" s="133"/>
      <c r="BM536" s="133"/>
      <c r="BN536" s="133"/>
      <c r="BO536" s="133"/>
      <c r="BP536" s="133"/>
      <c r="BQ536" s="133"/>
      <c r="BR536" s="133"/>
      <c r="BS536" s="133"/>
      <c r="BT536" s="133"/>
      <c r="BU536" s="133"/>
    </row>
    <row r="537" spans="15:73"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  <c r="AF537" s="133"/>
      <c r="AG537" s="133"/>
      <c r="AH537" s="133"/>
      <c r="AI537" s="133"/>
      <c r="AJ537" s="133"/>
      <c r="AK537" s="133"/>
      <c r="AL537" s="133"/>
      <c r="AM537" s="133"/>
      <c r="AN537" s="133"/>
      <c r="AO537" s="133"/>
      <c r="AP537" s="133"/>
      <c r="AQ537" s="133"/>
      <c r="AR537" s="133"/>
      <c r="AS537" s="133"/>
      <c r="AT537" s="133"/>
      <c r="AU537" s="133"/>
      <c r="AV537" s="133"/>
      <c r="AW537" s="133"/>
      <c r="AX537" s="133"/>
      <c r="AY537" s="133"/>
      <c r="AZ537" s="133"/>
      <c r="BA537" s="133"/>
      <c r="BB537" s="133"/>
      <c r="BC537" s="133"/>
      <c r="BD537" s="133"/>
      <c r="BE537" s="133"/>
      <c r="BF537" s="133"/>
      <c r="BG537" s="133"/>
      <c r="BH537" s="133"/>
      <c r="BI537" s="133"/>
      <c r="BJ537" s="133"/>
      <c r="BK537" s="133"/>
      <c r="BL537" s="133"/>
      <c r="BM537" s="133"/>
      <c r="BN537" s="133"/>
      <c r="BO537" s="133"/>
      <c r="BP537" s="133"/>
      <c r="BQ537" s="133"/>
      <c r="BR537" s="133"/>
      <c r="BS537" s="133"/>
      <c r="BT537" s="133"/>
      <c r="BU537" s="133"/>
    </row>
    <row r="538" spans="15:73"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  <c r="AF538" s="133"/>
      <c r="AG538" s="133"/>
      <c r="AH538" s="133"/>
      <c r="AI538" s="133"/>
      <c r="AJ538" s="133"/>
      <c r="AK538" s="133"/>
      <c r="AL538" s="133"/>
      <c r="AM538" s="133"/>
      <c r="AN538" s="133"/>
      <c r="AO538" s="133"/>
      <c r="AP538" s="133"/>
      <c r="AQ538" s="133"/>
      <c r="AR538" s="133"/>
      <c r="AS538" s="133"/>
      <c r="AT538" s="133"/>
      <c r="AU538" s="133"/>
      <c r="AV538" s="133"/>
      <c r="AW538" s="133"/>
      <c r="AX538" s="133"/>
      <c r="AY538" s="133"/>
      <c r="AZ538" s="133"/>
      <c r="BA538" s="133"/>
      <c r="BB538" s="133"/>
      <c r="BC538" s="133"/>
      <c r="BD538" s="133"/>
      <c r="BE538" s="133"/>
      <c r="BF538" s="133"/>
      <c r="BG538" s="133"/>
      <c r="BH538" s="133"/>
      <c r="BI538" s="133"/>
      <c r="BJ538" s="133"/>
      <c r="BK538" s="133"/>
      <c r="BL538" s="133"/>
      <c r="BM538" s="133"/>
      <c r="BN538" s="133"/>
      <c r="BO538" s="133"/>
      <c r="BP538" s="133"/>
      <c r="BQ538" s="133"/>
      <c r="BR538" s="133"/>
      <c r="BS538" s="133"/>
      <c r="BT538" s="133"/>
      <c r="BU538" s="133"/>
    </row>
    <row r="539" spans="15:73"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  <c r="AF539" s="133"/>
      <c r="AG539" s="133"/>
      <c r="AH539" s="133"/>
      <c r="AI539" s="133"/>
      <c r="AJ539" s="133"/>
      <c r="AK539" s="133"/>
      <c r="AL539" s="133"/>
      <c r="AM539" s="133"/>
      <c r="AN539" s="133"/>
      <c r="AO539" s="133"/>
      <c r="AP539" s="133"/>
      <c r="AQ539" s="133"/>
      <c r="AR539" s="133"/>
      <c r="AS539" s="133"/>
      <c r="AT539" s="133"/>
      <c r="AU539" s="133"/>
      <c r="AV539" s="133"/>
      <c r="AW539" s="133"/>
      <c r="AX539" s="133"/>
      <c r="AY539" s="133"/>
      <c r="AZ539" s="133"/>
      <c r="BA539" s="133"/>
      <c r="BB539" s="133"/>
      <c r="BC539" s="133"/>
      <c r="BD539" s="133"/>
      <c r="BE539" s="133"/>
      <c r="BF539" s="133"/>
      <c r="BG539" s="133"/>
      <c r="BH539" s="133"/>
      <c r="BI539" s="133"/>
      <c r="BJ539" s="133"/>
      <c r="BK539" s="133"/>
      <c r="BL539" s="133"/>
      <c r="BM539" s="133"/>
      <c r="BN539" s="133"/>
      <c r="BO539" s="133"/>
      <c r="BP539" s="133"/>
      <c r="BQ539" s="133"/>
      <c r="BR539" s="133"/>
      <c r="BS539" s="133"/>
      <c r="BT539" s="133"/>
      <c r="BU539" s="133"/>
    </row>
  </sheetData>
  <dataConsolidate link="1"/>
  <phoneticPr fontId="11" type="noConversion"/>
  <pageMargins left="0.75" right="0.75" top="1" bottom="1" header="0.5" footer="0.5"/>
  <pageSetup scale="6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K38"/>
  <sheetViews>
    <sheetView showGridLines="0" zoomScale="70" zoomScaleNormal="70" workbookViewId="0"/>
  </sheetViews>
  <sheetFormatPr defaultColWidth="9.109375" defaultRowHeight="13.2"/>
  <cols>
    <col min="1" max="1" width="16" style="18" customWidth="1"/>
    <col min="2" max="2" width="12.33203125" style="18" bestFit="1" customWidth="1"/>
    <col min="3" max="3" width="11.6640625" style="18" bestFit="1" customWidth="1"/>
    <col min="4" max="4" width="8.6640625" style="18" bestFit="1" customWidth="1"/>
    <col min="5" max="5" width="11.5546875" style="18" bestFit="1" customWidth="1"/>
    <col min="6" max="6" width="1.6640625" style="18" customWidth="1"/>
    <col min="7" max="9" width="11.5546875" style="18" bestFit="1" customWidth="1"/>
    <col min="10" max="10" width="10.6640625" style="18" customWidth="1"/>
    <col min="11" max="11" width="13.5546875" style="18" customWidth="1"/>
    <col min="12" max="16384" width="9.109375" style="18"/>
  </cols>
  <sheetData>
    <row r="1" spans="1:11" ht="13.8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3.8">
      <c r="A2" s="19"/>
      <c r="B2" s="164" t="s">
        <v>56</v>
      </c>
      <c r="C2" s="164"/>
      <c r="D2" s="164"/>
      <c r="E2" s="164"/>
      <c r="F2" s="23"/>
      <c r="G2" s="164" t="s">
        <v>57</v>
      </c>
      <c r="H2" s="164"/>
      <c r="I2" s="164"/>
      <c r="J2" s="19"/>
    </row>
    <row r="3" spans="1:11" ht="13.8">
      <c r="A3" s="19" t="s">
        <v>17</v>
      </c>
      <c r="B3" s="21" t="s">
        <v>20</v>
      </c>
      <c r="C3" s="25"/>
      <c r="D3" s="25"/>
      <c r="E3" s="25"/>
      <c r="F3" s="25"/>
      <c r="G3" s="25"/>
      <c r="H3" s="25"/>
      <c r="I3" s="25"/>
      <c r="J3" s="21" t="s">
        <v>58</v>
      </c>
    </row>
    <row r="4" spans="1:11" ht="13.8">
      <c r="A4" s="26" t="s">
        <v>59</v>
      </c>
      <c r="B4" s="28" t="s">
        <v>60</v>
      </c>
      <c r="C4" s="28" t="s">
        <v>26</v>
      </c>
      <c r="D4" s="28" t="s">
        <v>27</v>
      </c>
      <c r="E4" s="30" t="s">
        <v>61</v>
      </c>
      <c r="F4" s="29"/>
      <c r="G4" s="28" t="s">
        <v>62</v>
      </c>
      <c r="H4" s="28" t="s">
        <v>63</v>
      </c>
      <c r="I4" s="28" t="s">
        <v>61</v>
      </c>
      <c r="J4" s="28" t="s">
        <v>64</v>
      </c>
    </row>
    <row r="5" spans="1:11" ht="14.4">
      <c r="A5" s="19"/>
      <c r="B5" s="165" t="s">
        <v>65</v>
      </c>
      <c r="C5" s="165"/>
      <c r="D5" s="165"/>
      <c r="E5" s="165"/>
      <c r="F5" s="165"/>
      <c r="G5" s="165"/>
      <c r="H5" s="165"/>
      <c r="I5" s="165"/>
      <c r="J5" s="165"/>
    </row>
    <row r="6" spans="1:11" ht="13.8">
      <c r="A6" s="19" t="s">
        <v>35</v>
      </c>
      <c r="B6" s="52">
        <v>341.33600000000001</v>
      </c>
      <c r="C6" s="53">
        <f>C23</f>
        <v>50564.716999999997</v>
      </c>
      <c r="D6" s="53">
        <f>D23</f>
        <v>782.87279764099992</v>
      </c>
      <c r="E6" s="37">
        <f>E23</f>
        <v>51688.925797641001</v>
      </c>
      <c r="F6" s="53"/>
      <c r="G6" s="53">
        <f>G23</f>
        <v>37580.432300251006</v>
      </c>
      <c r="H6" s="53">
        <f>H23</f>
        <v>13767.707497390002</v>
      </c>
      <c r="I6" s="53">
        <f>I23</f>
        <v>51348.139797640993</v>
      </c>
      <c r="J6" s="53">
        <f>J22</f>
        <v>340.786</v>
      </c>
    </row>
    <row r="7" spans="1:11" ht="16.2">
      <c r="A7" s="19" t="s">
        <v>171</v>
      </c>
      <c r="B7" s="52">
        <f>J6</f>
        <v>340.786</v>
      </c>
      <c r="C7" s="53">
        <v>51859.214</v>
      </c>
      <c r="D7" s="53">
        <v>500</v>
      </c>
      <c r="E7" s="37">
        <f>SUM(B7:D7)</f>
        <v>52700</v>
      </c>
      <c r="F7" s="53"/>
      <c r="G7" s="53">
        <v>38300</v>
      </c>
      <c r="H7" s="53">
        <v>14000</v>
      </c>
      <c r="I7" s="53">
        <f>E7-J7</f>
        <v>52300</v>
      </c>
      <c r="J7" s="53">
        <v>400</v>
      </c>
    </row>
    <row r="8" spans="1:11" ht="16.2">
      <c r="A8" s="19" t="s">
        <v>172</v>
      </c>
      <c r="B8" s="52">
        <f>J7</f>
        <v>400</v>
      </c>
      <c r="C8" s="53">
        <v>53050</v>
      </c>
      <c r="D8" s="53">
        <v>450</v>
      </c>
      <c r="E8" s="37">
        <f>SUM(B8:D8)</f>
        <v>53900</v>
      </c>
      <c r="F8" s="53"/>
      <c r="G8" s="53">
        <v>39000</v>
      </c>
      <c r="H8" s="53">
        <v>14400</v>
      </c>
      <c r="I8" s="53">
        <f>E8-J8</f>
        <v>53400</v>
      </c>
      <c r="J8" s="53">
        <v>500</v>
      </c>
    </row>
    <row r="9" spans="1:11" ht="13.8">
      <c r="A9" s="19"/>
      <c r="B9" s="54"/>
      <c r="C9" s="54"/>
      <c r="D9" s="54"/>
      <c r="E9" s="54"/>
      <c r="F9" s="54"/>
      <c r="G9" s="53"/>
      <c r="H9" s="54"/>
      <c r="I9" s="54"/>
      <c r="J9" s="54"/>
    </row>
    <row r="10" spans="1:11" ht="13.8">
      <c r="A10" s="55" t="s">
        <v>35</v>
      </c>
      <c r="B10" s="56"/>
      <c r="C10" s="7"/>
      <c r="D10" s="7"/>
      <c r="E10" s="7"/>
      <c r="F10" s="7"/>
      <c r="G10" s="7"/>
      <c r="H10" s="7"/>
      <c r="I10" s="7"/>
      <c r="J10" s="7"/>
    </row>
    <row r="11" spans="1:11" ht="14.4">
      <c r="A11" s="23" t="s">
        <v>37</v>
      </c>
      <c r="B11" s="56">
        <v>341.33600000000001</v>
      </c>
      <c r="C11" s="7">
        <v>4615.5919999999996</v>
      </c>
      <c r="D11" s="7">
        <f>(63180.5*1.10231)/1000</f>
        <v>69.644496954999994</v>
      </c>
      <c r="E11" s="7">
        <f t="shared" ref="E11:E17" si="0">SUM(B11:D11)</f>
        <v>5026.5724969550001</v>
      </c>
      <c r="F11" s="6"/>
      <c r="G11" s="5">
        <f t="shared" ref="G11:G17" si="1">I11-H11</f>
        <v>3543.9302441150003</v>
      </c>
      <c r="H11" s="7">
        <f>(1005564*1.10231)/1000</f>
        <v>1108.44325284</v>
      </c>
      <c r="I11" s="6">
        <f t="shared" ref="I11:I17" si="2">E11-J11</f>
        <v>4652.3734969550005</v>
      </c>
      <c r="J11" s="6">
        <v>374.19900000000001</v>
      </c>
      <c r="K11" s="148"/>
    </row>
    <row r="12" spans="1:11" ht="14.4">
      <c r="A12" s="23" t="s">
        <v>38</v>
      </c>
      <c r="B12" s="56">
        <f t="shared" ref="B12:B17" si="3">J11</f>
        <v>374.19900000000001</v>
      </c>
      <c r="C12" s="7">
        <v>4516.2939999999999</v>
      </c>
      <c r="D12" s="7">
        <f>(61205.6*1.10231)/1000</f>
        <v>67.467544935999996</v>
      </c>
      <c r="E12" s="7">
        <f t="shared" si="0"/>
        <v>4957.9605449359997</v>
      </c>
      <c r="F12" s="6"/>
      <c r="G12" s="5">
        <f t="shared" si="1"/>
        <v>3223.2103220019999</v>
      </c>
      <c r="H12" s="7">
        <f>(1157871.4*1.10231)/1000</f>
        <v>1276.3332229339997</v>
      </c>
      <c r="I12" s="6">
        <f t="shared" si="2"/>
        <v>4499.5435449359993</v>
      </c>
      <c r="J12" s="6">
        <v>458.41699999999997</v>
      </c>
      <c r="K12" s="148"/>
    </row>
    <row r="13" spans="1:11" ht="14.4">
      <c r="A13" s="23" t="s">
        <v>40</v>
      </c>
      <c r="B13" s="56">
        <f t="shared" si="3"/>
        <v>458.41699999999997</v>
      </c>
      <c r="C13" s="7">
        <v>4540.9309999999996</v>
      </c>
      <c r="D13" s="7">
        <f>(58666.4*1.10231)/1000</f>
        <v>64.668559383999991</v>
      </c>
      <c r="E13" s="7">
        <f t="shared" si="0"/>
        <v>5064.0165593840002</v>
      </c>
      <c r="F13" s="6"/>
      <c r="G13" s="5">
        <f t="shared" si="1"/>
        <v>3257.6761174220001</v>
      </c>
      <c r="H13" s="7">
        <f>(1312650.2*1.10231)/1000</f>
        <v>1446.9474419619999</v>
      </c>
      <c r="I13" s="6">
        <f t="shared" si="2"/>
        <v>4704.6235593840001</v>
      </c>
      <c r="J13" s="6">
        <v>359.39299999999997</v>
      </c>
      <c r="K13" s="148"/>
    </row>
    <row r="14" spans="1:11" ht="14.4">
      <c r="A14" s="23" t="s">
        <v>41</v>
      </c>
      <c r="B14" s="56">
        <f t="shared" si="3"/>
        <v>359.39299999999997</v>
      </c>
      <c r="C14" s="7">
        <v>4665.6540000000005</v>
      </c>
      <c r="D14" s="7">
        <f>(62004.8*1.10231)/1000</f>
        <v>68.348511087999995</v>
      </c>
      <c r="E14" s="7">
        <f t="shared" si="0"/>
        <v>5093.3955110880006</v>
      </c>
      <c r="F14" s="6"/>
      <c r="G14" s="5">
        <f t="shared" si="1"/>
        <v>3080.2835676670006</v>
      </c>
      <c r="H14" s="7">
        <f>(1322049.1*1.10231)/1000</f>
        <v>1457.3079434209999</v>
      </c>
      <c r="I14" s="6">
        <f t="shared" si="2"/>
        <v>4537.5915110880005</v>
      </c>
      <c r="J14" s="6">
        <v>555.80399999999997</v>
      </c>
      <c r="K14" s="148"/>
    </row>
    <row r="15" spans="1:11" ht="14.4">
      <c r="A15" s="23" t="s">
        <v>42</v>
      </c>
      <c r="B15" s="56">
        <f t="shared" si="3"/>
        <v>555.80399999999997</v>
      </c>
      <c r="C15" s="7">
        <v>3918.6709999999998</v>
      </c>
      <c r="D15" s="7">
        <f>(60831.4*1.10231)/1000</f>
        <v>67.055060533999992</v>
      </c>
      <c r="E15" s="7">
        <f t="shared" si="0"/>
        <v>4541.5300605339999</v>
      </c>
      <c r="F15" s="6"/>
      <c r="G15" s="5">
        <f t="shared" si="1"/>
        <v>2640.8198255869997</v>
      </c>
      <c r="H15" s="7">
        <f>(1194443.7*1.10231)/1000</f>
        <v>1316.647234947</v>
      </c>
      <c r="I15" s="6">
        <f t="shared" si="2"/>
        <v>3957.4670605339998</v>
      </c>
      <c r="J15" s="6">
        <v>584.06299999999999</v>
      </c>
      <c r="K15" s="148"/>
    </row>
    <row r="16" spans="1:11" ht="14.4">
      <c r="A16" s="23" t="s">
        <v>44</v>
      </c>
      <c r="B16" s="56">
        <f t="shared" si="3"/>
        <v>584.06299999999999</v>
      </c>
      <c r="C16" s="7">
        <v>4476.5870000000004</v>
      </c>
      <c r="D16" s="7">
        <f>(66448.6*1.10231)/1000</f>
        <v>73.246956265999998</v>
      </c>
      <c r="E16" s="7">
        <f t="shared" si="0"/>
        <v>5133.8969562660004</v>
      </c>
      <c r="F16" s="6"/>
      <c r="G16" s="5">
        <f t="shared" si="1"/>
        <v>3387.3791584980008</v>
      </c>
      <c r="H16" s="7">
        <f>(1178232.8*1.10231)/1000</f>
        <v>1298.777797768</v>
      </c>
      <c r="I16" s="6">
        <f t="shared" si="2"/>
        <v>4686.1569562660006</v>
      </c>
      <c r="J16" s="6">
        <v>447.74</v>
      </c>
      <c r="K16" s="148"/>
    </row>
    <row r="17" spans="1:11" ht="14.4">
      <c r="A17" s="23" t="s">
        <v>45</v>
      </c>
      <c r="B17" s="56">
        <f t="shared" si="3"/>
        <v>447.74</v>
      </c>
      <c r="C17" s="7">
        <v>4044.7089999999998</v>
      </c>
      <c r="D17" s="7">
        <f>(61739.5*1.10231)/1000</f>
        <v>68.056068244999992</v>
      </c>
      <c r="E17" s="7">
        <f t="shared" si="0"/>
        <v>4560.5050682449992</v>
      </c>
      <c r="F17" s="6"/>
      <c r="G17" s="5">
        <f t="shared" si="1"/>
        <v>3050.7248173269991</v>
      </c>
      <c r="H17" s="7">
        <f>(959597.8*1.10231)/1000</f>
        <v>1057.774250918</v>
      </c>
      <c r="I17" s="6">
        <f t="shared" si="2"/>
        <v>4108.4990682449989</v>
      </c>
      <c r="J17" s="6">
        <v>452.00599999999997</v>
      </c>
      <c r="K17" s="148"/>
    </row>
    <row r="18" spans="1:11" ht="14.4">
      <c r="A18" s="23" t="s">
        <v>46</v>
      </c>
      <c r="B18" s="56">
        <f t="shared" ref="B18" si="4">J17</f>
        <v>452.00599999999997</v>
      </c>
      <c r="C18" s="7">
        <v>4122.884</v>
      </c>
      <c r="D18" s="7">
        <f>(59425.5*1.10231)/1000</f>
        <v>65.505322905</v>
      </c>
      <c r="E18" s="7">
        <f>SUM(B18:D18)</f>
        <v>4640.3953229050003</v>
      </c>
      <c r="F18" s="6"/>
      <c r="G18" s="5">
        <f t="shared" ref="G18:G22" si="5">I18-H18</f>
        <v>2948.6927628190006</v>
      </c>
      <c r="H18" s="7">
        <f>(952770.6*1.10231)/1000</f>
        <v>1050.2485600859998</v>
      </c>
      <c r="I18" s="6">
        <f>E18-J18</f>
        <v>3998.9413229050006</v>
      </c>
      <c r="J18" s="6">
        <v>641.45399999999995</v>
      </c>
      <c r="K18" s="148"/>
    </row>
    <row r="19" spans="1:11" ht="14.4">
      <c r="A19" s="23" t="s">
        <v>48</v>
      </c>
      <c r="B19" s="56">
        <f>J18</f>
        <v>641.45399999999995</v>
      </c>
      <c r="C19" s="7">
        <v>3833.951</v>
      </c>
      <c r="D19" s="7">
        <f>(57647.2*1.10231)/1000</f>
        <v>63.545085031999989</v>
      </c>
      <c r="E19" s="7">
        <f>SUM(B19:D19)</f>
        <v>4538.9500850320001</v>
      </c>
      <c r="F19" s="6"/>
      <c r="G19" s="5">
        <f t="shared" si="5"/>
        <v>3182.6439690309999</v>
      </c>
      <c r="H19" s="7">
        <f>(832167.1*1.10231)/1000</f>
        <v>917.30611600099996</v>
      </c>
      <c r="I19" s="6">
        <f>E19-J19</f>
        <v>4099.9500850320001</v>
      </c>
      <c r="J19" s="6">
        <v>439</v>
      </c>
      <c r="K19" s="148"/>
    </row>
    <row r="20" spans="1:11" ht="14.4">
      <c r="A20" s="23" t="s">
        <v>49</v>
      </c>
      <c r="B20" s="56">
        <f>J19</f>
        <v>439</v>
      </c>
      <c r="C20" s="7">
        <v>3966.4989999999998</v>
      </c>
      <c r="D20" s="7">
        <f>(80443.6*1.10231)/1000</f>
        <v>88.673784716</v>
      </c>
      <c r="E20" s="7">
        <f>SUM(B20:D20)</f>
        <v>4494.172784716</v>
      </c>
      <c r="F20" s="6"/>
      <c r="G20" s="5">
        <f t="shared" si="5"/>
        <v>2936.1778779750002</v>
      </c>
      <c r="H20" s="7">
        <f>(980821.1*1.10231)/1000</f>
        <v>1081.1689067409998</v>
      </c>
      <c r="I20" s="6">
        <f>E20-J20</f>
        <v>4017.346784716</v>
      </c>
      <c r="J20" s="6">
        <v>476.82600000000002</v>
      </c>
      <c r="K20" s="148"/>
    </row>
    <row r="21" spans="1:11" ht="14.4">
      <c r="A21" s="23" t="s">
        <v>50</v>
      </c>
      <c r="B21" s="56">
        <f>J20</f>
        <v>476.82600000000002</v>
      </c>
      <c r="C21" s="7">
        <v>3995.2939999999999</v>
      </c>
      <c r="D21" s="7">
        <f>(42840.9*1.10231)/1000</f>
        <v>47.223952478999998</v>
      </c>
      <c r="E21" s="7">
        <f>SUM(B21:D21)</f>
        <v>4519.3439524790001</v>
      </c>
      <c r="F21" s="6"/>
      <c r="G21" s="5">
        <f t="shared" si="5"/>
        <v>3177.8774938420006</v>
      </c>
      <c r="H21" s="7">
        <f>(869042.7*1.10231)/1000</f>
        <v>957.95445863699979</v>
      </c>
      <c r="I21" s="6">
        <f>E21-J21</f>
        <v>4135.8319524790004</v>
      </c>
      <c r="J21" s="6">
        <v>383.512</v>
      </c>
      <c r="K21" s="148"/>
    </row>
    <row r="22" spans="1:11" ht="14.4">
      <c r="A22" s="23" t="s">
        <v>36</v>
      </c>
      <c r="B22" s="56">
        <f>J21</f>
        <v>383.512</v>
      </c>
      <c r="C22" s="7">
        <v>3867.6509999999998</v>
      </c>
      <c r="D22" s="7">
        <f>(35777.1*1.10231)/1000</f>
        <v>39.437455100999991</v>
      </c>
      <c r="E22" s="7">
        <f>SUM(B22:D22)</f>
        <v>4290.6004551009992</v>
      </c>
      <c r="F22" s="6"/>
      <c r="G22" s="5">
        <f t="shared" si="5"/>
        <v>3151.0161439659992</v>
      </c>
      <c r="H22" s="7">
        <f>(724658.5*1.10231)/1000</f>
        <v>798.79831113499995</v>
      </c>
      <c r="I22" s="6">
        <f>E22-J22</f>
        <v>3949.8144551009991</v>
      </c>
      <c r="J22" s="6">
        <v>340.786</v>
      </c>
      <c r="K22" s="148"/>
    </row>
    <row r="23" spans="1:11" ht="13.8">
      <c r="A23" s="23" t="s">
        <v>28</v>
      </c>
      <c r="B23" s="56"/>
      <c r="C23" s="7">
        <f>SUM(C11:C22)</f>
        <v>50564.716999999997</v>
      </c>
      <c r="D23" s="7">
        <f>SUM(D11:D22)</f>
        <v>782.87279764099992</v>
      </c>
      <c r="E23" s="7">
        <f>B11+C23+D23</f>
        <v>51688.925797641001</v>
      </c>
      <c r="F23" s="7"/>
      <c r="G23" s="7">
        <f>SUM(G11:G22)</f>
        <v>37580.432300251006</v>
      </c>
      <c r="H23" s="7">
        <f>SUM(H11:H22)</f>
        <v>13767.707497390002</v>
      </c>
      <c r="I23" s="7">
        <f>SUM(I11:I22)</f>
        <v>51348.139797640993</v>
      </c>
      <c r="J23" s="7"/>
    </row>
    <row r="24" spans="1:11" ht="13.8">
      <c r="A24" s="23"/>
      <c r="B24" s="56"/>
      <c r="C24" s="7"/>
      <c r="D24" s="7"/>
      <c r="E24" s="7"/>
      <c r="F24" s="7"/>
      <c r="G24" s="7"/>
      <c r="H24" s="7"/>
      <c r="I24" s="7"/>
      <c r="J24" s="7"/>
    </row>
    <row r="25" spans="1:11" ht="13.8">
      <c r="A25" s="55" t="s">
        <v>52</v>
      </c>
      <c r="B25" s="56"/>
      <c r="C25" s="7"/>
      <c r="D25" s="7"/>
      <c r="E25" s="7"/>
      <c r="F25" s="7"/>
      <c r="G25" s="7"/>
      <c r="H25" s="7"/>
      <c r="I25" s="7"/>
      <c r="J25" s="7"/>
    </row>
    <row r="26" spans="1:11" ht="14.4">
      <c r="A26" s="23" t="s">
        <v>37</v>
      </c>
      <c r="B26" s="56">
        <f>J22</f>
        <v>340.786</v>
      </c>
      <c r="C26" s="7">
        <v>4591.6390000000001</v>
      </c>
      <c r="D26" s="7">
        <f>(56516.5*1.10231)/1000</f>
        <v>62.298703114999995</v>
      </c>
      <c r="E26" s="7">
        <f t="shared" ref="E26:E31" si="6">SUM(B26:D26)</f>
        <v>4994.7237031149998</v>
      </c>
      <c r="F26" s="7"/>
      <c r="G26" s="7">
        <f t="shared" ref="G26:G31" si="7">I26-H26</f>
        <v>3492.8933177700001</v>
      </c>
      <c r="H26" s="7">
        <f>(989149.5*1.10231)/1000</f>
        <v>1090.3493853449997</v>
      </c>
      <c r="I26" s="6">
        <f t="shared" ref="I26:I31" si="8">E26-J26</f>
        <v>4583.242703115</v>
      </c>
      <c r="J26" s="7">
        <v>411.48099999999999</v>
      </c>
      <c r="K26" s="148"/>
    </row>
    <row r="27" spans="1:11" ht="14.4">
      <c r="A27" s="23" t="s">
        <v>38</v>
      </c>
      <c r="B27" s="56">
        <f>J26</f>
        <v>411.48099999999999</v>
      </c>
      <c r="C27" s="7">
        <v>4456.7700000000004</v>
      </c>
      <c r="D27" s="7">
        <f>(33708.1*1.10231)/1000</f>
        <v>37.156775710999995</v>
      </c>
      <c r="E27" s="7">
        <f t="shared" si="6"/>
        <v>4905.4077757109999</v>
      </c>
      <c r="F27" s="7"/>
      <c r="G27" s="7">
        <f t="shared" si="7"/>
        <v>3277.398553041</v>
      </c>
      <c r="H27" s="7">
        <f>(1136157*1.10231)/1000</f>
        <v>1252.3972226699998</v>
      </c>
      <c r="I27" s="6">
        <f t="shared" si="8"/>
        <v>4529.7957757109998</v>
      </c>
      <c r="J27" s="7">
        <v>375.61200000000002</v>
      </c>
      <c r="K27" s="148"/>
    </row>
    <row r="28" spans="1:11" ht="14.4">
      <c r="A28" s="23" t="s">
        <v>40</v>
      </c>
      <c r="B28" s="56">
        <f>J27</f>
        <v>375.61200000000002</v>
      </c>
      <c r="C28" s="7">
        <v>4629.5519999999997</v>
      </c>
      <c r="D28" s="7">
        <f>(33713.7*1.10231)/1000</f>
        <v>37.162948646999993</v>
      </c>
      <c r="E28" s="7">
        <f t="shared" si="6"/>
        <v>5042.3269486469999</v>
      </c>
      <c r="F28" s="7"/>
      <c r="G28" s="7">
        <f t="shared" si="7"/>
        <v>3235.8188905589996</v>
      </c>
      <c r="H28" s="7">
        <f>(1265704.8*1.10231)/1000</f>
        <v>1395.1990580879999</v>
      </c>
      <c r="I28" s="6">
        <f t="shared" si="8"/>
        <v>4631.0179486469997</v>
      </c>
      <c r="J28" s="7">
        <v>411.30900000000003</v>
      </c>
      <c r="K28" s="148"/>
    </row>
    <row r="29" spans="1:11" ht="14.4">
      <c r="A29" s="23" t="s">
        <v>41</v>
      </c>
      <c r="B29" s="56">
        <f>J28</f>
        <v>411.30900000000003</v>
      </c>
      <c r="C29" s="7">
        <v>4533.1530000000002</v>
      </c>
      <c r="D29" s="7">
        <f>(40167.4*1.10231)/1000</f>
        <v>44.276926693999997</v>
      </c>
      <c r="E29" s="7">
        <f t="shared" si="6"/>
        <v>4988.7389266940008</v>
      </c>
      <c r="F29" s="7"/>
      <c r="G29" s="7">
        <f t="shared" si="7"/>
        <v>3259.9617703520012</v>
      </c>
      <c r="H29" s="7">
        <f>(1177548.2*1.10231)/1000</f>
        <v>1298.0231563419998</v>
      </c>
      <c r="I29" s="6">
        <f t="shared" si="8"/>
        <v>4557.9849266940009</v>
      </c>
      <c r="J29" s="7">
        <v>430.75400000000002</v>
      </c>
      <c r="K29" s="148"/>
    </row>
    <row r="30" spans="1:11" ht="14.4">
      <c r="A30" s="23" t="s">
        <v>42</v>
      </c>
      <c r="B30" s="56">
        <f>J29</f>
        <v>430.75400000000002</v>
      </c>
      <c r="C30" s="7">
        <v>4089.9549999999999</v>
      </c>
      <c r="D30" s="7">
        <f>(46777.6*1.10231)/1000</f>
        <v>51.563416255999996</v>
      </c>
      <c r="E30" s="7">
        <f t="shared" si="6"/>
        <v>4572.2724162559998</v>
      </c>
      <c r="F30" s="7"/>
      <c r="G30" s="7">
        <f t="shared" si="7"/>
        <v>3104.2082034579998</v>
      </c>
      <c r="H30" s="7">
        <f>(981745.8*1.10231)/1000</f>
        <v>1082.1882127979998</v>
      </c>
      <c r="I30" s="6">
        <f t="shared" si="8"/>
        <v>4186.3964162559996</v>
      </c>
      <c r="J30" s="7">
        <v>385.87599999999998</v>
      </c>
      <c r="K30" s="148"/>
    </row>
    <row r="31" spans="1:11" ht="14.4">
      <c r="A31" s="17" t="s">
        <v>44</v>
      </c>
      <c r="B31" s="57">
        <f>J30</f>
        <v>385.87599999999998</v>
      </c>
      <c r="C31" s="48">
        <v>4549.6310000000003</v>
      </c>
      <c r="D31" s="48">
        <f>(36598.4*1.10231)/1000</f>
        <v>40.342782304000004</v>
      </c>
      <c r="E31" s="48">
        <f t="shared" si="6"/>
        <v>4975.8497823040007</v>
      </c>
      <c r="F31" s="48"/>
      <c r="G31" s="48">
        <f t="shared" si="7"/>
        <v>3397.5364563470011</v>
      </c>
      <c r="H31" s="48">
        <f>(1086214.7*1.10231)/1000</f>
        <v>1197.3453259569999</v>
      </c>
      <c r="I31" s="64">
        <f t="shared" si="8"/>
        <v>4594.8817823040008</v>
      </c>
      <c r="J31" s="48">
        <v>380.96800000000002</v>
      </c>
      <c r="K31" s="148"/>
    </row>
    <row r="32" spans="1:11" ht="16.2">
      <c r="A32" s="58" t="s">
        <v>66</v>
      </c>
      <c r="B32" s="19"/>
      <c r="C32" s="19"/>
      <c r="D32" s="19"/>
      <c r="E32" s="19"/>
      <c r="F32" s="19"/>
      <c r="G32" s="19"/>
      <c r="H32" s="19"/>
      <c r="I32" s="19"/>
      <c r="J32" s="19"/>
    </row>
    <row r="33" spans="1:10" ht="14.4">
      <c r="A33" s="19" t="s">
        <v>67</v>
      </c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13.8">
      <c r="A34" s="25" t="s">
        <v>55</v>
      </c>
      <c r="B34" s="50">
        <f ca="1">NOW()</f>
        <v>44694.651039583332</v>
      </c>
      <c r="C34" s="44"/>
      <c r="D34" s="38"/>
      <c r="E34" s="38"/>
      <c r="F34" s="38"/>
      <c r="G34" s="38"/>
      <c r="H34" s="38"/>
      <c r="I34" s="38"/>
      <c r="J34" s="38"/>
    </row>
    <row r="35" spans="1:10">
      <c r="A35" s="59"/>
      <c r="B35" s="60"/>
      <c r="C35" s="61"/>
      <c r="D35" s="60"/>
      <c r="E35" s="126"/>
      <c r="F35" s="60"/>
      <c r="G35" s="60"/>
      <c r="H35" s="62"/>
      <c r="I35" s="126"/>
      <c r="J35" s="60"/>
    </row>
    <row r="36" spans="1:10">
      <c r="A36" s="59"/>
      <c r="B36" s="60"/>
      <c r="C36" s="60"/>
      <c r="D36" s="60"/>
      <c r="E36" s="60"/>
      <c r="F36" s="60"/>
      <c r="G36" s="60"/>
      <c r="H36" s="60"/>
      <c r="I36" s="60"/>
      <c r="J36" s="60"/>
    </row>
    <row r="37" spans="1:10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>
      <c r="A38" s="59"/>
      <c r="B38" s="59"/>
      <c r="C38" s="59"/>
      <c r="D38" s="59"/>
      <c r="E38" s="59"/>
      <c r="F38" s="59"/>
      <c r="G38" s="59"/>
      <c r="H38" s="59"/>
      <c r="I38" s="59"/>
      <c r="J38" s="59"/>
    </row>
  </sheetData>
  <mergeCells count="3">
    <mergeCell ref="G2:I2"/>
    <mergeCell ref="B5:J5"/>
    <mergeCell ref="B2:E2"/>
  </mergeCells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5"/>
  <sheetViews>
    <sheetView showGridLines="0" zoomScale="70" zoomScaleNormal="70" workbookViewId="0"/>
  </sheetViews>
  <sheetFormatPr defaultColWidth="9.109375" defaultRowHeight="13.2"/>
  <cols>
    <col min="1" max="1" width="15.44140625" style="18" customWidth="1"/>
    <col min="2" max="2" width="12.33203125" style="18" bestFit="1" customWidth="1"/>
    <col min="3" max="3" width="12.109375" style="18" bestFit="1" customWidth="1"/>
    <col min="4" max="4" width="11" style="18" bestFit="1" customWidth="1"/>
    <col min="5" max="5" width="11.33203125" style="18" bestFit="1" customWidth="1"/>
    <col min="6" max="6" width="3.6640625" style="18" customWidth="1"/>
    <col min="7" max="7" width="11.5546875" style="18" bestFit="1" customWidth="1"/>
    <col min="8" max="8" width="10.6640625" style="18" customWidth="1"/>
    <col min="9" max="9" width="12.6640625" style="18" customWidth="1"/>
    <col min="10" max="10" width="9.6640625" style="18" bestFit="1" customWidth="1"/>
    <col min="11" max="11" width="11.5546875" style="18" bestFit="1" customWidth="1"/>
    <col min="12" max="12" width="12.5546875" style="18" bestFit="1" customWidth="1"/>
    <col min="13" max="16384" width="9.109375" style="18"/>
  </cols>
  <sheetData>
    <row r="1" spans="1:13" ht="13.8">
      <c r="A1" s="1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3.8">
      <c r="A2" s="19"/>
      <c r="B2" s="164" t="s">
        <v>56</v>
      </c>
      <c r="C2" s="164"/>
      <c r="D2" s="164"/>
      <c r="E2" s="164"/>
      <c r="F2" s="23"/>
      <c r="G2" s="164" t="s">
        <v>57</v>
      </c>
      <c r="H2" s="164"/>
      <c r="I2" s="164"/>
      <c r="J2" s="155"/>
      <c r="K2" s="155"/>
      <c r="L2" s="19"/>
    </row>
    <row r="3" spans="1:13" ht="13.8">
      <c r="A3" s="19" t="s">
        <v>17</v>
      </c>
      <c r="B3" s="21" t="s">
        <v>68</v>
      </c>
      <c r="C3" s="40" t="s">
        <v>26</v>
      </c>
      <c r="D3" s="40" t="s">
        <v>69</v>
      </c>
      <c r="E3" s="40" t="s">
        <v>61</v>
      </c>
      <c r="F3" s="40"/>
      <c r="G3" s="155" t="s">
        <v>62</v>
      </c>
      <c r="H3" s="155"/>
      <c r="I3" s="155"/>
      <c r="J3" s="40" t="s">
        <v>70</v>
      </c>
      <c r="K3" s="40" t="s">
        <v>61</v>
      </c>
      <c r="L3" s="40" t="s">
        <v>58</v>
      </c>
    </row>
    <row r="4" spans="1:13" ht="16.2">
      <c r="A4" s="26" t="s">
        <v>59</v>
      </c>
      <c r="B4" s="28" t="s">
        <v>60</v>
      </c>
      <c r="C4" s="29"/>
      <c r="D4" s="29"/>
      <c r="E4" s="29"/>
      <c r="F4" s="29"/>
      <c r="G4" s="28" t="s">
        <v>28</v>
      </c>
      <c r="H4" s="28" t="s">
        <v>71</v>
      </c>
      <c r="I4" s="28" t="s">
        <v>72</v>
      </c>
      <c r="J4" s="29"/>
      <c r="K4" s="29"/>
      <c r="L4" s="40" t="s">
        <v>64</v>
      </c>
    </row>
    <row r="5" spans="1:13" ht="14.4">
      <c r="A5" s="19"/>
      <c r="B5" s="166" t="s">
        <v>73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3" ht="13.8">
      <c r="A6" s="19" t="s">
        <v>35</v>
      </c>
      <c r="B6" s="54">
        <v>1852.675</v>
      </c>
      <c r="C6" s="54">
        <f>C23</f>
        <v>25022.667000000001</v>
      </c>
      <c r="D6" s="54">
        <f>D23</f>
        <v>301.9644297936</v>
      </c>
      <c r="E6" s="54">
        <f>E23</f>
        <v>27177.3064297936</v>
      </c>
      <c r="F6" s="54"/>
      <c r="G6" s="54">
        <f>G23</f>
        <v>23322.575127803797</v>
      </c>
      <c r="H6" s="54">
        <f t="shared" ref="H6:J6" si="0">H23</f>
        <v>8849.5114432999999</v>
      </c>
      <c r="I6" s="37">
        <f t="shared" si="0"/>
        <v>14473.063684503799</v>
      </c>
      <c r="J6" s="54">
        <f t="shared" si="0"/>
        <v>1723.4983019897998</v>
      </c>
      <c r="K6" s="54">
        <f>E6-L6</f>
        <v>25046.0734297936</v>
      </c>
      <c r="L6" s="54">
        <f>L22</f>
        <v>2131.2330000000002</v>
      </c>
      <c r="M6" s="119"/>
    </row>
    <row r="7" spans="1:13" ht="16.2">
      <c r="A7" s="19" t="s">
        <v>171</v>
      </c>
      <c r="B7" s="54">
        <f>L6</f>
        <v>2131.2330000000002</v>
      </c>
      <c r="C7" s="54">
        <v>26205</v>
      </c>
      <c r="D7" s="54">
        <v>450</v>
      </c>
      <c r="E7" s="54">
        <f>SUM(B7:D7)</f>
        <v>28786.233</v>
      </c>
      <c r="F7" s="54"/>
      <c r="G7" s="54">
        <f>K7-J7</f>
        <v>25085</v>
      </c>
      <c r="H7" s="54">
        <v>10700</v>
      </c>
      <c r="I7" s="37">
        <f>G7-H7</f>
        <v>14385</v>
      </c>
      <c r="J7" s="54">
        <v>1725</v>
      </c>
      <c r="K7" s="54">
        <f>E7-L7</f>
        <v>26810</v>
      </c>
      <c r="L7" s="54">
        <v>1976.2330000000002</v>
      </c>
    </row>
    <row r="8" spans="1:13" ht="16.2">
      <c r="A8" s="19" t="s">
        <v>172</v>
      </c>
      <c r="B8" s="54">
        <f>L7</f>
        <v>1976.2330000000002</v>
      </c>
      <c r="C8" s="54">
        <v>26430</v>
      </c>
      <c r="D8" s="54">
        <v>500</v>
      </c>
      <c r="E8" s="54">
        <f>SUM(B8:D8)</f>
        <v>28906.233</v>
      </c>
      <c r="F8" s="54"/>
      <c r="G8" s="54">
        <f>K8-J8</f>
        <v>25800</v>
      </c>
      <c r="H8" s="54">
        <v>12000</v>
      </c>
      <c r="I8" s="37">
        <f>G8-H8</f>
        <v>13800</v>
      </c>
      <c r="J8" s="54">
        <v>1400</v>
      </c>
      <c r="K8" s="54">
        <f>E8-L8</f>
        <v>27200</v>
      </c>
      <c r="L8" s="54">
        <v>1706.2330000000002</v>
      </c>
    </row>
    <row r="9" spans="1:13" ht="13.8">
      <c r="A9" s="19"/>
      <c r="B9" s="54"/>
      <c r="C9" s="54"/>
      <c r="D9" s="54"/>
      <c r="E9" s="54"/>
      <c r="F9" s="54"/>
      <c r="G9" s="54"/>
      <c r="H9" s="54"/>
      <c r="I9" s="120"/>
      <c r="J9" s="54"/>
      <c r="K9" s="54"/>
      <c r="L9" s="54"/>
    </row>
    <row r="10" spans="1:13" ht="13.8">
      <c r="A10" s="41" t="s">
        <v>35</v>
      </c>
      <c r="B10" s="63"/>
      <c r="C10" s="7"/>
      <c r="D10" s="7"/>
      <c r="E10" s="7"/>
      <c r="F10" s="6"/>
      <c r="G10" s="7"/>
      <c r="H10" s="7"/>
      <c r="I10" s="7"/>
      <c r="J10" s="7"/>
      <c r="K10" s="7"/>
      <c r="L10" s="6"/>
    </row>
    <row r="11" spans="1:13" ht="13.8">
      <c r="A11" s="23" t="s">
        <v>37</v>
      </c>
      <c r="B11" s="6">
        <v>1852.675</v>
      </c>
      <c r="C11" s="7">
        <v>2282.471</v>
      </c>
      <c r="D11" s="7">
        <f>(9279.7*2204.622)/1000000</f>
        <v>20.4582307734</v>
      </c>
      <c r="E11" s="7">
        <f t="shared" ref="E11:E17" si="1">SUM(B11:D11)</f>
        <v>4155.6042307733996</v>
      </c>
      <c r="F11" s="6"/>
      <c r="G11" s="6">
        <f t="shared" ref="G11:G17" si="2">K11-J11</f>
        <v>2002.3090817163998</v>
      </c>
      <c r="H11" s="7">
        <v>793.16669999999999</v>
      </c>
      <c r="I11" s="7">
        <f t="shared" ref="I11:I16" si="3">G11-H11</f>
        <v>1209.1423817163998</v>
      </c>
      <c r="J11" s="7">
        <f>(84043.5*2204.622)/1000000</f>
        <v>185.28414905699998</v>
      </c>
      <c r="K11" s="7">
        <f t="shared" ref="K11:K17" si="4">E11-L11</f>
        <v>2187.5932307733997</v>
      </c>
      <c r="L11" s="6">
        <v>1968.011</v>
      </c>
    </row>
    <row r="12" spans="1:13" ht="13.8">
      <c r="A12" s="23" t="s">
        <v>38</v>
      </c>
      <c r="B12" s="6">
        <f t="shared" ref="B12:B17" si="5">L11</f>
        <v>1968.011</v>
      </c>
      <c r="C12" s="7">
        <v>2206.7919999999999</v>
      </c>
      <c r="D12" s="7">
        <f>(9584.1*2204.622)/1000000</f>
        <v>21.129317710200002</v>
      </c>
      <c r="E12" s="7">
        <f t="shared" si="1"/>
        <v>4195.9323177101996</v>
      </c>
      <c r="F12" s="6"/>
      <c r="G12" s="6">
        <f t="shared" si="2"/>
        <v>1901.6370607625995</v>
      </c>
      <c r="H12" s="7">
        <v>753.16669999999999</v>
      </c>
      <c r="I12" s="7">
        <f t="shared" si="3"/>
        <v>1148.4703607625995</v>
      </c>
      <c r="J12" s="7">
        <f>(80375.8*2204.622)/1000000</f>
        <v>177.19825694760002</v>
      </c>
      <c r="K12" s="7">
        <f t="shared" si="4"/>
        <v>2078.8353177101994</v>
      </c>
      <c r="L12" s="6">
        <v>2117.0970000000002</v>
      </c>
    </row>
    <row r="13" spans="1:13" ht="13.8">
      <c r="A13" s="23" t="s">
        <v>40</v>
      </c>
      <c r="B13" s="6">
        <f t="shared" si="5"/>
        <v>2117.0970000000002</v>
      </c>
      <c r="C13" s="7">
        <v>2233.4859999999999</v>
      </c>
      <c r="D13" s="7">
        <f>(11454.4*2204.622)/1000000</f>
        <v>25.252622236799997</v>
      </c>
      <c r="E13" s="7">
        <f t="shared" si="1"/>
        <v>4375.8356222368002</v>
      </c>
      <c r="F13" s="6"/>
      <c r="G13" s="6">
        <f t="shared" si="2"/>
        <v>2030.2426082694001</v>
      </c>
      <c r="H13" s="7">
        <v>814.16669999999999</v>
      </c>
      <c r="I13" s="7">
        <f t="shared" si="3"/>
        <v>1216.0759082694001</v>
      </c>
      <c r="J13" s="7">
        <f>(106506.7*2204.622)/1000000</f>
        <v>234.8070139674</v>
      </c>
      <c r="K13" s="7">
        <f t="shared" si="4"/>
        <v>2265.0496222368001</v>
      </c>
      <c r="L13" s="6">
        <v>2110.7860000000001</v>
      </c>
    </row>
    <row r="14" spans="1:13" ht="13.8">
      <c r="A14" s="23" t="s">
        <v>41</v>
      </c>
      <c r="B14" s="6">
        <f t="shared" si="5"/>
        <v>2110.7860000000001</v>
      </c>
      <c r="C14" s="7">
        <v>2308.752</v>
      </c>
      <c r="D14" s="7">
        <f>(8609.5*2204.622)/1000000</f>
        <v>18.980693108999997</v>
      </c>
      <c r="E14" s="7">
        <f t="shared" si="1"/>
        <v>4438.5186931090002</v>
      </c>
      <c r="F14" s="6"/>
      <c r="G14" s="6">
        <f t="shared" si="2"/>
        <v>1804.6869535148003</v>
      </c>
      <c r="H14" s="7">
        <v>682.87599999999998</v>
      </c>
      <c r="I14" s="7">
        <f t="shared" si="3"/>
        <v>1121.8109535148003</v>
      </c>
      <c r="J14" s="7">
        <f>(148706.1*2204.622)/1000000</f>
        <v>327.84073959419999</v>
      </c>
      <c r="K14" s="7">
        <f t="shared" si="4"/>
        <v>2132.5276931090002</v>
      </c>
      <c r="L14" s="6">
        <v>2305.991</v>
      </c>
    </row>
    <row r="15" spans="1:13" ht="13.8">
      <c r="A15" s="23" t="s">
        <v>42</v>
      </c>
      <c r="B15" s="6">
        <f t="shared" si="5"/>
        <v>2305.991</v>
      </c>
      <c r="C15" s="7">
        <v>1924.749</v>
      </c>
      <c r="D15" s="7">
        <f>(9711.7*2204.622)/1000000</f>
        <v>21.410627477400002</v>
      </c>
      <c r="E15" s="7">
        <f t="shared" si="1"/>
        <v>4252.1506274774001</v>
      </c>
      <c r="F15" s="6"/>
      <c r="G15" s="6">
        <f t="shared" si="2"/>
        <v>1690.1760304182003</v>
      </c>
      <c r="H15" s="7">
        <v>552.22799999999995</v>
      </c>
      <c r="I15" s="7">
        <f t="shared" si="3"/>
        <v>1137.9480304182002</v>
      </c>
      <c r="J15" s="7">
        <f>(116113.6*2204.622)/1000000</f>
        <v>255.98659705919999</v>
      </c>
      <c r="K15" s="7">
        <f t="shared" si="4"/>
        <v>1946.1626274774003</v>
      </c>
      <c r="L15" s="6">
        <v>2305.9879999999998</v>
      </c>
    </row>
    <row r="16" spans="1:13" ht="13.8">
      <c r="A16" s="23" t="s">
        <v>44</v>
      </c>
      <c r="B16" s="6">
        <f t="shared" si="5"/>
        <v>2305.9879999999998</v>
      </c>
      <c r="C16" s="7">
        <v>2222.123</v>
      </c>
      <c r="D16" s="7">
        <f>(9636.1*2204.622)/1000000</f>
        <v>21.2439580542</v>
      </c>
      <c r="E16" s="7">
        <f t="shared" si="1"/>
        <v>4549.3549580542003</v>
      </c>
      <c r="F16" s="6"/>
      <c r="G16" s="6">
        <f t="shared" si="2"/>
        <v>2148.2428110598007</v>
      </c>
      <c r="H16" s="7">
        <v>740.35334330000001</v>
      </c>
      <c r="I16" s="7">
        <f t="shared" si="3"/>
        <v>1407.8894677598007</v>
      </c>
      <c r="J16" s="7">
        <f>(70685.2*2204.622)/1000000</f>
        <v>155.83414699439999</v>
      </c>
      <c r="K16" s="7">
        <f t="shared" si="4"/>
        <v>2304.0769580542005</v>
      </c>
      <c r="L16" s="6">
        <v>2245.2779999999998</v>
      </c>
    </row>
    <row r="17" spans="1:14" ht="13.8">
      <c r="A17" s="23" t="s">
        <v>45</v>
      </c>
      <c r="B17" s="6">
        <f t="shared" si="5"/>
        <v>2245.2779999999998</v>
      </c>
      <c r="C17" s="7">
        <v>1991.877</v>
      </c>
      <c r="D17" s="7">
        <f>(9275.9*2204.622)/1000000</f>
        <v>20.449853209799997</v>
      </c>
      <c r="E17" s="7">
        <f t="shared" si="1"/>
        <v>4257.6048532097993</v>
      </c>
      <c r="F17" s="6"/>
      <c r="G17" s="6">
        <f t="shared" si="2"/>
        <v>1950.4084486029992</v>
      </c>
      <c r="H17" s="7">
        <v>699.93299999999999</v>
      </c>
      <c r="I17" s="7">
        <f t="shared" ref="I17:I22" si="6">G17-H17</f>
        <v>1250.4754486029992</v>
      </c>
      <c r="J17" s="7">
        <f>(58789.4*2204.622)/1000000</f>
        <v>129.60840460679998</v>
      </c>
      <c r="K17" s="7">
        <f t="shared" si="4"/>
        <v>2080.0168532097991</v>
      </c>
      <c r="L17" s="6">
        <v>2177.5880000000002</v>
      </c>
    </row>
    <row r="18" spans="1:14" ht="13.8">
      <c r="A18" s="23" t="s">
        <v>46</v>
      </c>
      <c r="B18" s="6">
        <f t="shared" ref="B18" si="7">L17</f>
        <v>2177.5880000000002</v>
      </c>
      <c r="C18" s="7">
        <v>2043.135</v>
      </c>
      <c r="D18" s="7">
        <f>(7517.3*2204.622)/1000000</f>
        <v>16.572804960599999</v>
      </c>
      <c r="E18" s="7">
        <f t="shared" ref="E18:E22" si="8">SUM(B18:D18)</f>
        <v>4237.2958049605995</v>
      </c>
      <c r="F18" s="6"/>
      <c r="G18" s="6">
        <f>K18-J18</f>
        <v>2019.0822001577997</v>
      </c>
      <c r="H18" s="7">
        <v>787.56200000000001</v>
      </c>
      <c r="I18" s="7">
        <f t="shared" si="6"/>
        <v>1231.5202001577995</v>
      </c>
      <c r="J18" s="7">
        <f>(32307.4*2204.622)/1000000</f>
        <v>71.225604802800007</v>
      </c>
      <c r="K18" s="7">
        <f>E18-L18</f>
        <v>2090.3078049605997</v>
      </c>
      <c r="L18" s="6">
        <v>2146.9879999999998</v>
      </c>
    </row>
    <row r="19" spans="1:14" ht="13.8">
      <c r="A19" s="23" t="s">
        <v>48</v>
      </c>
      <c r="B19" s="6">
        <f>L18</f>
        <v>2146.9879999999998</v>
      </c>
      <c r="C19" s="7">
        <v>1908.6489999999999</v>
      </c>
      <c r="D19" s="7">
        <f>(11859.1*2204.622)/1000000</f>
        <v>26.144832760199996</v>
      </c>
      <c r="E19" s="7">
        <f t="shared" si="8"/>
        <v>4081.7818327601999</v>
      </c>
      <c r="F19" s="6"/>
      <c r="G19" s="6">
        <f>K19-J19</f>
        <v>1889.5260091224</v>
      </c>
      <c r="H19" s="7">
        <v>663.33</v>
      </c>
      <c r="I19" s="7">
        <f t="shared" si="6"/>
        <v>1226.1960091224</v>
      </c>
      <c r="J19" s="7">
        <f>(41549.9*2204.622)/1000000</f>
        <v>91.601823637799995</v>
      </c>
      <c r="K19" s="7">
        <f>E19-L19</f>
        <v>1981.1278327601999</v>
      </c>
      <c r="L19" s="6">
        <v>2100.654</v>
      </c>
    </row>
    <row r="20" spans="1:14" ht="13.8">
      <c r="A20" s="23" t="s">
        <v>49</v>
      </c>
      <c r="B20" s="6">
        <f>L19</f>
        <v>2100.654</v>
      </c>
      <c r="C20" s="7">
        <v>1972.6880000000001</v>
      </c>
      <c r="D20" s="7">
        <f>(14714.2*2204.622)/1000000</f>
        <v>32.439249032399999</v>
      </c>
      <c r="E20" s="7">
        <f t="shared" si="8"/>
        <v>4105.7812490324004</v>
      </c>
      <c r="F20" s="6"/>
      <c r="G20" s="6">
        <f>K20-J20</f>
        <v>1999.9908670466004</v>
      </c>
      <c r="H20" s="7">
        <v>791.97900000000004</v>
      </c>
      <c r="I20" s="7">
        <f t="shared" si="6"/>
        <v>1208.0118670466004</v>
      </c>
      <c r="J20" s="7">
        <f>(16183.9*2204.622)/1000000</f>
        <v>35.679381985799999</v>
      </c>
      <c r="K20" s="7">
        <f>E20-L20</f>
        <v>2035.6702490324005</v>
      </c>
      <c r="L20" s="6">
        <v>2070.1109999999999</v>
      </c>
    </row>
    <row r="21" spans="1:14" ht="13.8">
      <c r="A21" s="23" t="s">
        <v>50</v>
      </c>
      <c r="B21" s="6">
        <f>L20</f>
        <v>2070.1109999999999</v>
      </c>
      <c r="C21" s="7">
        <v>1989.7329999999999</v>
      </c>
      <c r="D21" s="7">
        <f>(19317.4*2204.622)/1000000</f>
        <v>42.5875650228</v>
      </c>
      <c r="E21" s="7">
        <f t="shared" si="8"/>
        <v>4102.4315650228</v>
      </c>
      <c r="F21" s="6"/>
      <c r="G21" s="6">
        <f>K21-J21</f>
        <v>1894.4255643878003</v>
      </c>
      <c r="H21" s="7">
        <v>814.73500000000001</v>
      </c>
      <c r="I21" s="7">
        <f t="shared" si="6"/>
        <v>1079.6905643878004</v>
      </c>
      <c r="J21" s="7">
        <f>(11142.5*2204.622)/1000000</f>
        <v>24.565000634999997</v>
      </c>
      <c r="K21" s="7">
        <f>E21-L21</f>
        <v>1918.9905650228002</v>
      </c>
      <c r="L21" s="6">
        <v>2183.4409999999998</v>
      </c>
    </row>
    <row r="22" spans="1:14" ht="13.8">
      <c r="A22" s="23" t="s">
        <v>36</v>
      </c>
      <c r="B22" s="6">
        <f>L21</f>
        <v>2183.4409999999998</v>
      </c>
      <c r="C22" s="7">
        <v>1938.212</v>
      </c>
      <c r="D22" s="7">
        <f>(16009.4*2204.622)/1000000</f>
        <v>35.294675446799992</v>
      </c>
      <c r="E22" s="7">
        <f t="shared" si="8"/>
        <v>4156.9476754468005</v>
      </c>
      <c r="F22" s="6"/>
      <c r="G22" s="6">
        <f>K22-J22</f>
        <v>1991.8474927450004</v>
      </c>
      <c r="H22" s="7">
        <v>756.01499999999999</v>
      </c>
      <c r="I22" s="7">
        <f t="shared" si="6"/>
        <v>1235.8324927450003</v>
      </c>
      <c r="J22" s="7">
        <f>(15361.9*2204.622)/1000000</f>
        <v>33.867182701799997</v>
      </c>
      <c r="K22" s="7">
        <f>E22-L22</f>
        <v>2025.7146754468004</v>
      </c>
      <c r="L22" s="6">
        <v>2131.2330000000002</v>
      </c>
      <c r="N22" s="46"/>
    </row>
    <row r="23" spans="1:14" ht="13.8">
      <c r="A23" s="23" t="s">
        <v>28</v>
      </c>
      <c r="B23" s="6"/>
      <c r="C23" s="7">
        <f>SUM(C11:C22)</f>
        <v>25022.667000000001</v>
      </c>
      <c r="D23" s="7">
        <f>SUM(D11:D22)</f>
        <v>301.9644297936</v>
      </c>
      <c r="E23" s="7">
        <f>B11+C23+D23</f>
        <v>27177.3064297936</v>
      </c>
      <c r="F23" s="6"/>
      <c r="G23" s="6">
        <f>SUM(G11:G22)</f>
        <v>23322.575127803797</v>
      </c>
      <c r="H23" s="7">
        <f>SUM(H11:H22)</f>
        <v>8849.5114432999999</v>
      </c>
      <c r="I23" s="7">
        <f>SUM(I11:I22)</f>
        <v>14473.063684503799</v>
      </c>
      <c r="J23" s="7">
        <f>SUM(J11:J22)</f>
        <v>1723.4983019897998</v>
      </c>
      <c r="K23" s="6">
        <f>SUM(K11:K22)</f>
        <v>25046.0734297936</v>
      </c>
      <c r="L23" s="6"/>
    </row>
    <row r="24" spans="1:14" ht="13.8">
      <c r="A24" s="23"/>
      <c r="B24" s="6"/>
      <c r="C24" s="7"/>
      <c r="D24" s="7"/>
      <c r="E24" s="7"/>
      <c r="F24" s="6"/>
      <c r="G24" s="6"/>
      <c r="H24" s="7"/>
      <c r="I24" s="7"/>
      <c r="J24" s="7"/>
      <c r="K24" s="6"/>
      <c r="L24" s="6"/>
    </row>
    <row r="25" spans="1:14" ht="13.8">
      <c r="A25" s="41" t="s">
        <v>52</v>
      </c>
      <c r="B25" s="6"/>
      <c r="C25" s="7"/>
      <c r="D25" s="7"/>
      <c r="E25" s="7"/>
      <c r="F25" s="6"/>
      <c r="G25" s="6"/>
      <c r="H25" s="7"/>
      <c r="I25" s="7"/>
      <c r="J25" s="7"/>
      <c r="K25" s="6"/>
      <c r="L25" s="6"/>
    </row>
    <row r="26" spans="1:14" ht="13.8">
      <c r="A26" s="23" t="s">
        <v>37</v>
      </c>
      <c r="B26" s="6">
        <f>L22</f>
        <v>2131.2330000000002</v>
      </c>
      <c r="C26" s="7">
        <v>2347.58</v>
      </c>
      <c r="D26" s="7">
        <f>(15994.4*2204.622)/1000000</f>
        <v>35.261606116799996</v>
      </c>
      <c r="E26" s="7">
        <f t="shared" ref="E26:E30" si="9">SUM(B26:D26)</f>
        <v>4514.0746061168002</v>
      </c>
      <c r="F26" s="6"/>
      <c r="G26" s="6">
        <f t="shared" ref="G26:G31" si="10">K26-J26</f>
        <v>2070.5737418166</v>
      </c>
      <c r="H26" s="7">
        <v>832.42700000000002</v>
      </c>
      <c r="I26" s="7">
        <f t="shared" ref="I26:I30" si="11">G26-H26</f>
        <v>1238.1467418165998</v>
      </c>
      <c r="J26" s="7">
        <f>(25929.1*2204.622)/1000000</f>
        <v>57.16386430019999</v>
      </c>
      <c r="K26" s="7">
        <f t="shared" ref="K26:K31" si="12">E26-L26</f>
        <v>2127.7376061168002</v>
      </c>
      <c r="L26" s="6">
        <v>2386.337</v>
      </c>
    </row>
    <row r="27" spans="1:14" ht="13.8">
      <c r="A27" s="23" t="s">
        <v>38</v>
      </c>
      <c r="B27" s="6">
        <f>L26</f>
        <v>2386.337</v>
      </c>
      <c r="C27" s="7">
        <v>2235.37</v>
      </c>
      <c r="D27" s="7">
        <f>(15494*2204.622)/1000000</f>
        <v>34.158413267999997</v>
      </c>
      <c r="E27" s="7">
        <f t="shared" si="9"/>
        <v>4655.8654132680003</v>
      </c>
      <c r="F27" s="6"/>
      <c r="G27" s="6">
        <f t="shared" si="10"/>
        <v>1996.2802733038002</v>
      </c>
      <c r="H27" s="7">
        <v>818.01271279999992</v>
      </c>
      <c r="I27" s="7">
        <f t="shared" si="11"/>
        <v>1178.2675605038003</v>
      </c>
      <c r="J27" s="7">
        <f>(115041.1*2204.622)/1000000</f>
        <v>253.62213996419999</v>
      </c>
      <c r="K27" s="7">
        <f t="shared" si="12"/>
        <v>2249.9024132680001</v>
      </c>
      <c r="L27" s="6">
        <v>2405.9630000000002</v>
      </c>
    </row>
    <row r="28" spans="1:14" ht="13.8">
      <c r="A28" s="23" t="s">
        <v>40</v>
      </c>
      <c r="B28" s="6">
        <f>L27</f>
        <v>2405.9630000000002</v>
      </c>
      <c r="C28" s="7">
        <v>2324.183</v>
      </c>
      <c r="D28" s="7">
        <f>(14351.1*2204.622)/1000000</f>
        <v>31.638750784199999</v>
      </c>
      <c r="E28" s="7">
        <f t="shared" si="9"/>
        <v>4761.7847507842007</v>
      </c>
      <c r="F28" s="68"/>
      <c r="G28" s="6">
        <f t="shared" si="10"/>
        <v>2113.2355269914005</v>
      </c>
      <c r="H28" s="7">
        <v>937.33500000000004</v>
      </c>
      <c r="I28" s="7">
        <f t="shared" si="11"/>
        <v>1175.9005269914005</v>
      </c>
      <c r="J28" s="7">
        <f>(82852.4*2204.622)/1000000</f>
        <v>182.65822379279999</v>
      </c>
      <c r="K28" s="7">
        <f t="shared" si="12"/>
        <v>2295.8937507842006</v>
      </c>
      <c r="L28" s="6">
        <v>2465.8910000000001</v>
      </c>
    </row>
    <row r="29" spans="1:14" ht="13.8">
      <c r="A29" s="23" t="s">
        <v>41</v>
      </c>
      <c r="B29" s="6">
        <f>L28</f>
        <v>2465.8910000000001</v>
      </c>
      <c r="C29" s="7">
        <v>2277.355</v>
      </c>
      <c r="D29" s="7">
        <f>(7352.3*2204.622)/1000000</f>
        <v>16.209042330599999</v>
      </c>
      <c r="E29" s="7">
        <f t="shared" si="9"/>
        <v>4759.4550423306</v>
      </c>
      <c r="F29" s="68"/>
      <c r="G29" s="6">
        <f t="shared" si="10"/>
        <v>1975.1484729870001</v>
      </c>
      <c r="H29" s="7">
        <v>791.38699999999994</v>
      </c>
      <c r="I29" s="7">
        <f t="shared" si="11"/>
        <v>1183.7614729870002</v>
      </c>
      <c r="J29" s="7">
        <f>(128993.8*2204.622)/1000000</f>
        <v>284.38256934359998</v>
      </c>
      <c r="K29" s="7">
        <f t="shared" si="12"/>
        <v>2259.5310423306</v>
      </c>
      <c r="L29" s="6">
        <v>2499.924</v>
      </c>
    </row>
    <row r="30" spans="1:14" ht="13.8">
      <c r="A30" s="23" t="s">
        <v>42</v>
      </c>
      <c r="B30" s="6">
        <f>L29</f>
        <v>2499.924</v>
      </c>
      <c r="C30" s="7">
        <v>2064.1990000000001</v>
      </c>
      <c r="D30" s="7">
        <f>(9762.4*2204.622)/1000000</f>
        <v>21.522401812799998</v>
      </c>
      <c r="E30" s="7">
        <f t="shared" si="9"/>
        <v>4585.6454018127997</v>
      </c>
      <c r="F30" s="68"/>
      <c r="G30" s="6">
        <f t="shared" si="10"/>
        <v>1783.8920882499997</v>
      </c>
      <c r="H30" s="7">
        <v>740.60299999999995</v>
      </c>
      <c r="I30" s="7">
        <f t="shared" si="11"/>
        <v>1043.2890882499996</v>
      </c>
      <c r="J30" s="7">
        <f>(106887.4*2204.622)/1000000</f>
        <v>235.64631356279995</v>
      </c>
      <c r="K30" s="7">
        <f t="shared" si="12"/>
        <v>2019.5384018127997</v>
      </c>
      <c r="L30" s="6">
        <v>2566.107</v>
      </c>
    </row>
    <row r="31" spans="1:14" ht="13.8">
      <c r="A31" s="17" t="s">
        <v>44</v>
      </c>
      <c r="B31" s="64">
        <f>L30</f>
        <v>2566.107</v>
      </c>
      <c r="C31" s="48">
        <v>2277.5410000000002</v>
      </c>
      <c r="D31" s="48">
        <f>(10063.7*2204.622)/1000000</f>
        <v>22.1866544214</v>
      </c>
      <c r="E31" s="48">
        <f>SUM(B31:D31)</f>
        <v>4865.8346544214</v>
      </c>
      <c r="F31" s="16"/>
      <c r="G31" s="64">
        <f t="shared" si="10"/>
        <v>2165.6971246716002</v>
      </c>
      <c r="H31" s="48" t="s">
        <v>74</v>
      </c>
      <c r="I31" s="48" t="s">
        <v>74</v>
      </c>
      <c r="J31" s="48">
        <f>(120845.9*2204.622)/1000000</f>
        <v>266.41952974979995</v>
      </c>
      <c r="K31" s="48">
        <f t="shared" si="12"/>
        <v>2432.1166544214002</v>
      </c>
      <c r="L31" s="64">
        <v>2433.7179999999998</v>
      </c>
    </row>
    <row r="32" spans="1:14" ht="16.2">
      <c r="A32" s="58" t="s">
        <v>75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14.4">
      <c r="A33" s="19" t="s">
        <v>67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13.8">
      <c r="A34" s="25" t="s">
        <v>55</v>
      </c>
      <c r="B34" s="50">
        <f ca="1">NOW()</f>
        <v>44694.651039467593</v>
      </c>
      <c r="K34" s="46"/>
    </row>
    <row r="35" spans="1:12">
      <c r="E35" s="46"/>
    </row>
  </sheetData>
  <mergeCells count="3">
    <mergeCell ref="B5:L5"/>
    <mergeCell ref="G2:I2"/>
    <mergeCell ref="B2:E2"/>
  </mergeCells>
  <phoneticPr fontId="11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zoomScale="70" zoomScaleNormal="70" workbookViewId="0"/>
  </sheetViews>
  <sheetFormatPr defaultColWidth="9.109375" defaultRowHeight="13.2"/>
  <cols>
    <col min="1" max="1" width="15.33203125" style="18" customWidth="1"/>
    <col min="2" max="2" width="13.109375" style="18" customWidth="1"/>
    <col min="3" max="3" width="12.109375" style="18" customWidth="1"/>
    <col min="4" max="4" width="13.44140625" style="18" customWidth="1"/>
    <col min="5" max="5" width="15.33203125" style="18" customWidth="1"/>
    <col min="6" max="6" width="11.44140625" style="18" customWidth="1"/>
    <col min="7" max="7" width="11.6640625" style="18" customWidth="1"/>
    <col min="8" max="8" width="8.6640625" style="18" customWidth="1"/>
    <col min="9" max="9" width="9.6640625" style="18" customWidth="1"/>
    <col min="10" max="11" width="7.6640625" style="18" customWidth="1"/>
    <col min="12" max="12" width="8.5546875" style="18" customWidth="1"/>
    <col min="13" max="13" width="9.5546875" style="18" customWidth="1"/>
    <col min="14" max="15" width="7.5546875" style="18" customWidth="1"/>
    <col min="16" max="18" width="9.109375" style="18"/>
    <col min="19" max="19" width="17.44140625" style="18" bestFit="1" customWidth="1"/>
    <col min="20" max="20" width="9.109375" style="18"/>
    <col min="21" max="21" width="28.33203125" style="18" bestFit="1" customWidth="1"/>
    <col min="22" max="16384" width="9.109375" style="18"/>
  </cols>
  <sheetData>
    <row r="1" spans="1:15" ht="13.8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9"/>
      <c r="M1" s="19"/>
      <c r="N1" s="19"/>
      <c r="O1" s="19"/>
    </row>
    <row r="2" spans="1:15" ht="13.8">
      <c r="A2" s="19"/>
      <c r="B2" s="164" t="s">
        <v>56</v>
      </c>
      <c r="C2" s="164"/>
      <c r="D2" s="164"/>
      <c r="E2" s="164"/>
      <c r="F2" s="100"/>
      <c r="G2" s="164" t="s">
        <v>57</v>
      </c>
      <c r="H2" s="164"/>
      <c r="I2" s="164"/>
      <c r="J2" s="164"/>
      <c r="K2" s="100"/>
      <c r="L2" s="19"/>
      <c r="M2" s="19"/>
      <c r="N2" s="19"/>
      <c r="O2" s="19"/>
    </row>
    <row r="3" spans="1:15" ht="13.8">
      <c r="A3" s="19" t="s">
        <v>17</v>
      </c>
      <c r="B3" s="25" t="s">
        <v>68</v>
      </c>
      <c r="C3" s="25"/>
      <c r="D3" s="25"/>
      <c r="E3" s="25"/>
      <c r="F3" s="101"/>
      <c r="G3" s="25"/>
      <c r="H3" s="25"/>
      <c r="I3" s="25"/>
      <c r="J3" s="25"/>
      <c r="K3" s="21" t="s">
        <v>58</v>
      </c>
      <c r="L3" s="19"/>
      <c r="M3" s="19"/>
      <c r="N3" s="19"/>
      <c r="O3" s="19"/>
    </row>
    <row r="4" spans="1:15" ht="13.8">
      <c r="A4" s="26" t="s">
        <v>76</v>
      </c>
      <c r="B4" s="28" t="s">
        <v>77</v>
      </c>
      <c r="C4" s="78" t="s">
        <v>26</v>
      </c>
      <c r="D4" s="30" t="s">
        <v>69</v>
      </c>
      <c r="E4" s="28" t="s">
        <v>78</v>
      </c>
      <c r="F4" s="29"/>
      <c r="G4" s="28" t="s">
        <v>79</v>
      </c>
      <c r="H4" s="28" t="s">
        <v>30</v>
      </c>
      <c r="I4" s="28" t="s">
        <v>80</v>
      </c>
      <c r="J4" s="28" t="s">
        <v>81</v>
      </c>
      <c r="K4" s="28" t="s">
        <v>60</v>
      </c>
      <c r="L4" s="19"/>
      <c r="M4" s="19"/>
      <c r="N4" s="19"/>
      <c r="O4" s="19"/>
    </row>
    <row r="5" spans="1:15" ht="14.4">
      <c r="A5" s="19"/>
      <c r="B5" s="167" t="s">
        <v>82</v>
      </c>
      <c r="C5" s="167"/>
      <c r="D5" s="167"/>
      <c r="E5" s="167"/>
      <c r="F5" s="167"/>
      <c r="G5" s="167"/>
      <c r="H5" s="167"/>
      <c r="I5" s="167"/>
      <c r="J5" s="167"/>
      <c r="K5" s="167"/>
      <c r="L5" s="19"/>
      <c r="M5" s="19"/>
      <c r="N5" s="19"/>
      <c r="O5" s="19"/>
    </row>
    <row r="6" spans="1:15" ht="13.8">
      <c r="A6" s="23" t="s">
        <v>35</v>
      </c>
      <c r="B6" s="103">
        <v>456.0068619717149</v>
      </c>
      <c r="C6" s="103">
        <v>4468</v>
      </c>
      <c r="D6" s="104">
        <v>1</v>
      </c>
      <c r="E6" s="103">
        <f>B6+C6+D6</f>
        <v>4925.0068619717149</v>
      </c>
      <c r="F6" s="105"/>
      <c r="G6" s="103">
        <v>1562.7429999999999</v>
      </c>
      <c r="H6" s="106">
        <v>282.68453874670092</v>
      </c>
      <c r="I6" s="103">
        <v>2687</v>
      </c>
      <c r="J6" s="103">
        <f>E6-K6</f>
        <v>4532.4948619717152</v>
      </c>
      <c r="K6" s="103">
        <v>392.512</v>
      </c>
      <c r="L6" s="19"/>
      <c r="M6" s="19"/>
      <c r="N6" s="19"/>
      <c r="O6" s="19"/>
    </row>
    <row r="7" spans="1:15" ht="16.2">
      <c r="A7" s="23" t="s">
        <v>171</v>
      </c>
      <c r="B7" s="103">
        <f>K6</f>
        <v>392.512</v>
      </c>
      <c r="C7" s="103">
        <v>5323</v>
      </c>
      <c r="D7" s="104">
        <v>25</v>
      </c>
      <c r="E7" s="103">
        <f>B7+C7+D7</f>
        <v>5740.5119999999997</v>
      </c>
      <c r="F7" s="105"/>
      <c r="G7" s="103">
        <v>1475</v>
      </c>
      <c r="H7" s="106">
        <v>285</v>
      </c>
      <c r="I7" s="103">
        <v>3558.7999999999997</v>
      </c>
      <c r="J7" s="103">
        <f>E7-K7</f>
        <v>5318.7999999999993</v>
      </c>
      <c r="K7" s="103">
        <v>421.71199999999999</v>
      </c>
      <c r="L7" s="19"/>
      <c r="M7" s="19"/>
      <c r="N7" s="19"/>
      <c r="O7" s="19"/>
    </row>
    <row r="8" spans="1:15" ht="16.2">
      <c r="A8" s="17" t="s">
        <v>172</v>
      </c>
      <c r="B8" s="107">
        <f>K7</f>
        <v>421.71199999999999</v>
      </c>
      <c r="C8" s="107">
        <v>5115</v>
      </c>
      <c r="D8" s="108">
        <v>5</v>
      </c>
      <c r="E8" s="107">
        <f>B8+C8+D8</f>
        <v>5541.7119999999995</v>
      </c>
      <c r="F8" s="109"/>
      <c r="G8" s="107">
        <v>1550</v>
      </c>
      <c r="H8" s="110">
        <v>275</v>
      </c>
      <c r="I8" s="107">
        <v>3295</v>
      </c>
      <c r="J8" s="107">
        <f>E8-K8</f>
        <v>5120</v>
      </c>
      <c r="K8" s="107">
        <v>421.71199999999999</v>
      </c>
      <c r="L8" s="19"/>
      <c r="M8" s="19"/>
      <c r="N8" s="19"/>
      <c r="O8" s="19"/>
    </row>
    <row r="9" spans="1:15" ht="16.2">
      <c r="A9" s="58" t="s">
        <v>83</v>
      </c>
      <c r="B9" s="19"/>
      <c r="C9" s="102"/>
      <c r="D9" s="102"/>
      <c r="E9" s="102"/>
      <c r="F9" s="102"/>
      <c r="G9" s="111"/>
      <c r="H9" s="102"/>
      <c r="I9" s="102"/>
      <c r="J9" s="102"/>
      <c r="K9" s="19"/>
      <c r="L9" s="19"/>
      <c r="M9" s="19"/>
      <c r="N9" s="19"/>
      <c r="O9" s="19"/>
    </row>
    <row r="10" spans="1:15" ht="14.4">
      <c r="A10" s="19" t="s">
        <v>84</v>
      </c>
      <c r="B10" s="38"/>
      <c r="C10" s="44"/>
      <c r="D10" s="19"/>
      <c r="E10" s="38"/>
      <c r="F10" s="38"/>
      <c r="G10" s="38"/>
      <c r="H10" s="38"/>
      <c r="I10" s="38"/>
      <c r="J10" s="38"/>
      <c r="K10" s="19"/>
      <c r="L10" s="19"/>
      <c r="M10" s="19"/>
      <c r="N10" s="19"/>
      <c r="O10" s="19"/>
    </row>
    <row r="11" spans="1:15" ht="14.4">
      <c r="A11" s="19" t="s">
        <v>85</v>
      </c>
      <c r="B11" s="38"/>
      <c r="C11" s="44"/>
      <c r="D11" s="19"/>
      <c r="E11" s="38"/>
      <c r="F11" s="38"/>
      <c r="G11" s="38"/>
      <c r="H11" s="38"/>
      <c r="I11" s="38"/>
      <c r="J11" s="38"/>
      <c r="K11" s="19"/>
      <c r="L11" s="19"/>
      <c r="M11" s="19"/>
      <c r="N11" s="19"/>
      <c r="O11" s="19"/>
    </row>
    <row r="12" spans="1:15" ht="13.8">
      <c r="A12" s="19"/>
      <c r="B12" s="38"/>
      <c r="C12" s="44"/>
      <c r="D12" s="19"/>
      <c r="E12" s="38"/>
      <c r="F12" s="38"/>
      <c r="G12" s="38"/>
      <c r="H12" s="38"/>
      <c r="I12" s="38"/>
      <c r="J12" s="38"/>
      <c r="K12" s="19"/>
      <c r="L12" s="19"/>
      <c r="M12" s="19"/>
      <c r="N12" s="19"/>
      <c r="O12" s="19"/>
    </row>
    <row r="13" spans="1:15" ht="13.8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3.8">
      <c r="A14" s="17" t="s">
        <v>5</v>
      </c>
      <c r="B14" s="17"/>
      <c r="C14" s="17"/>
      <c r="D14" s="17"/>
      <c r="E14" s="17"/>
      <c r="F14" s="17"/>
      <c r="G14" s="17"/>
      <c r="H14" s="17"/>
      <c r="I14" s="19"/>
      <c r="J14" s="17"/>
      <c r="K14" s="19"/>
      <c r="L14" s="19"/>
      <c r="M14" s="19"/>
      <c r="N14" s="19"/>
      <c r="O14" s="19"/>
    </row>
    <row r="15" spans="1:15" ht="13.8">
      <c r="A15" s="19"/>
      <c r="B15" s="164" t="s">
        <v>56</v>
      </c>
      <c r="C15" s="164"/>
      <c r="D15" s="164"/>
      <c r="E15" s="164"/>
      <c r="F15" s="19"/>
      <c r="G15" s="164" t="s">
        <v>57</v>
      </c>
      <c r="H15" s="164"/>
      <c r="I15" s="164"/>
      <c r="J15" s="19"/>
      <c r="K15" s="19"/>
      <c r="L15" s="19"/>
      <c r="M15" s="19"/>
      <c r="N15" s="19"/>
      <c r="O15" s="19"/>
    </row>
    <row r="16" spans="1:15" ht="13.8">
      <c r="A16" s="19" t="s">
        <v>17</v>
      </c>
      <c r="B16" s="21" t="s">
        <v>68</v>
      </c>
      <c r="C16" s="25"/>
      <c r="D16" s="25"/>
      <c r="E16" s="25"/>
      <c r="F16" s="25"/>
      <c r="G16" s="25"/>
      <c r="H16" s="25"/>
      <c r="I16" s="25"/>
      <c r="J16" s="21" t="s">
        <v>58</v>
      </c>
      <c r="K16" s="19"/>
      <c r="L16" s="19"/>
      <c r="M16" s="19"/>
      <c r="N16" s="19"/>
      <c r="O16" s="19"/>
    </row>
    <row r="17" spans="1:15" ht="13.8">
      <c r="A17" s="26" t="s">
        <v>59</v>
      </c>
      <c r="B17" s="28" t="s">
        <v>60</v>
      </c>
      <c r="C17" s="78" t="s">
        <v>26</v>
      </c>
      <c r="D17" s="30" t="s">
        <v>69</v>
      </c>
      <c r="E17" s="28" t="s">
        <v>81</v>
      </c>
      <c r="F17" s="29"/>
      <c r="G17" s="103" t="s">
        <v>86</v>
      </c>
      <c r="H17" s="28" t="s">
        <v>30</v>
      </c>
      <c r="I17" s="30" t="s">
        <v>61</v>
      </c>
      <c r="J17" s="28" t="s">
        <v>60</v>
      </c>
      <c r="K17" s="19"/>
      <c r="L17" s="19"/>
      <c r="M17" s="19"/>
      <c r="N17" s="19"/>
      <c r="O17" s="19"/>
    </row>
    <row r="18" spans="1:15" ht="14.4">
      <c r="A18" s="19"/>
      <c r="B18" s="167" t="s">
        <v>87</v>
      </c>
      <c r="C18" s="167"/>
      <c r="D18" s="167"/>
      <c r="E18" s="167"/>
      <c r="F18" s="167"/>
      <c r="G18" s="167"/>
      <c r="H18" s="167"/>
      <c r="I18" s="167"/>
      <c r="J18" s="167"/>
      <c r="K18" s="19"/>
      <c r="L18" s="19"/>
      <c r="M18" s="19"/>
      <c r="N18" s="19"/>
      <c r="O18" s="19"/>
    </row>
    <row r="19" spans="1:15" ht="13.8">
      <c r="A19" s="23" t="s">
        <v>35</v>
      </c>
      <c r="B19" s="103">
        <v>24.872</v>
      </c>
      <c r="C19" s="106">
        <v>648.57100000000003</v>
      </c>
      <c r="D19" s="104">
        <v>0</v>
      </c>
      <c r="E19" s="106">
        <f>B19+C19+D19</f>
        <v>673.44299999999998</v>
      </c>
      <c r="F19" s="105"/>
      <c r="G19" s="106">
        <v>573.37699999999995</v>
      </c>
      <c r="H19" s="106">
        <v>60.759509638330982</v>
      </c>
      <c r="I19" s="106">
        <f>SUM(G19:H19)</f>
        <v>634.13650963833095</v>
      </c>
      <c r="J19" s="103">
        <v>39.305999999999997</v>
      </c>
      <c r="K19" s="19"/>
      <c r="L19" s="19"/>
      <c r="M19" s="19"/>
      <c r="N19" s="19"/>
      <c r="O19" s="19"/>
    </row>
    <row r="20" spans="1:15" ht="16.2">
      <c r="A20" s="23" t="s">
        <v>171</v>
      </c>
      <c r="B20" s="103">
        <f>J19</f>
        <v>39.305999999999997</v>
      </c>
      <c r="C20" s="106">
        <v>665</v>
      </c>
      <c r="D20" s="104">
        <v>0</v>
      </c>
      <c r="E20" s="106">
        <f>B20+C20+D20</f>
        <v>704.30600000000004</v>
      </c>
      <c r="F20" s="105"/>
      <c r="G20" s="106">
        <v>619.30600000000004</v>
      </c>
      <c r="H20" s="106">
        <v>60</v>
      </c>
      <c r="I20" s="106">
        <f>SUM(G20:H20)</f>
        <v>679.30600000000004</v>
      </c>
      <c r="J20" s="103">
        <v>25</v>
      </c>
      <c r="K20" s="19"/>
      <c r="L20" s="19"/>
      <c r="M20" s="19"/>
      <c r="N20" s="19"/>
      <c r="O20" s="19"/>
    </row>
    <row r="21" spans="1:15" ht="16.2">
      <c r="A21" s="17" t="s">
        <v>172</v>
      </c>
      <c r="B21" s="107">
        <f>J20</f>
        <v>25</v>
      </c>
      <c r="C21" s="110">
        <v>700</v>
      </c>
      <c r="D21" s="108">
        <v>0</v>
      </c>
      <c r="E21" s="110">
        <f>B21+C21+D21</f>
        <v>725</v>
      </c>
      <c r="F21" s="109"/>
      <c r="G21" s="110">
        <v>625</v>
      </c>
      <c r="H21" s="110">
        <v>60</v>
      </c>
      <c r="I21" s="110">
        <f>SUM(G21:H21)</f>
        <v>685</v>
      </c>
      <c r="J21" s="107">
        <v>40</v>
      </c>
      <c r="K21" s="19"/>
      <c r="L21" s="19"/>
      <c r="M21" s="19"/>
      <c r="N21" s="19"/>
      <c r="O21" s="19"/>
    </row>
    <row r="22" spans="1:15" ht="16.2">
      <c r="A22" s="58" t="s">
        <v>83</v>
      </c>
      <c r="B22" s="19"/>
      <c r="C22" s="102"/>
      <c r="D22" s="102"/>
      <c r="E22" s="102"/>
      <c r="F22" s="102"/>
      <c r="G22" s="102"/>
      <c r="H22" s="102"/>
      <c r="I22" s="19"/>
      <c r="J22" s="19"/>
      <c r="K22" s="19"/>
      <c r="L22" s="19"/>
      <c r="M22" s="19"/>
      <c r="N22" s="19"/>
      <c r="O22" s="19"/>
    </row>
    <row r="23" spans="1:15" ht="14.4">
      <c r="A23" s="19" t="s">
        <v>88</v>
      </c>
      <c r="B23" s="105"/>
      <c r="C23" s="105"/>
      <c r="D23" s="105"/>
      <c r="E23" s="105"/>
      <c r="F23" s="105"/>
      <c r="G23" s="105"/>
      <c r="H23" s="105"/>
      <c r="I23" s="19"/>
      <c r="J23" s="19"/>
      <c r="K23" s="19"/>
      <c r="L23" s="19"/>
      <c r="M23" s="19"/>
      <c r="N23" s="19"/>
      <c r="O23" s="19"/>
    </row>
    <row r="24" spans="1:15" ht="13.8">
      <c r="A24" s="23"/>
      <c r="B24" s="38"/>
      <c r="C24" s="38"/>
      <c r="D24" s="38"/>
      <c r="E24" s="38"/>
      <c r="F24" s="38"/>
      <c r="G24" s="38"/>
      <c r="H24" s="38"/>
      <c r="I24" s="19"/>
      <c r="J24" s="19"/>
      <c r="K24" s="19"/>
      <c r="L24" s="19"/>
      <c r="M24" s="19"/>
      <c r="N24" s="19"/>
      <c r="O24" s="19"/>
    </row>
    <row r="25" spans="1:15" ht="13.8">
      <c r="A25" s="23"/>
      <c r="B25" s="38"/>
      <c r="C25" s="44"/>
      <c r="D25" s="38"/>
      <c r="E25" s="38"/>
      <c r="F25" s="38"/>
      <c r="G25" s="38"/>
      <c r="H25" s="38"/>
      <c r="I25" s="19"/>
      <c r="J25" s="19"/>
      <c r="K25" s="19"/>
      <c r="L25" s="19"/>
      <c r="M25" s="19"/>
      <c r="N25" s="19"/>
      <c r="O25" s="19"/>
    </row>
    <row r="26" spans="1:15" ht="13.8">
      <c r="A26" s="17" t="s">
        <v>6</v>
      </c>
      <c r="B26" s="17"/>
      <c r="C26" s="17"/>
      <c r="D26" s="17"/>
      <c r="E26" s="17"/>
      <c r="F26" s="17"/>
      <c r="G26" s="17"/>
      <c r="H26" s="17"/>
      <c r="I26" s="19"/>
      <c r="J26" s="17"/>
      <c r="K26" s="19"/>
      <c r="L26" s="19"/>
      <c r="M26" s="19"/>
      <c r="N26" s="19"/>
      <c r="O26" s="19"/>
    </row>
    <row r="27" spans="1:15" ht="13.8">
      <c r="A27" s="19"/>
      <c r="B27" s="164" t="s">
        <v>56</v>
      </c>
      <c r="C27" s="164"/>
      <c r="D27" s="164"/>
      <c r="E27" s="164"/>
      <c r="F27" s="19"/>
      <c r="G27" s="164" t="s">
        <v>57</v>
      </c>
      <c r="H27" s="164"/>
      <c r="I27" s="164"/>
      <c r="J27" s="19"/>
      <c r="K27" s="19"/>
      <c r="L27" s="19"/>
      <c r="M27" s="19"/>
      <c r="N27" s="19"/>
      <c r="O27" s="19"/>
    </row>
    <row r="28" spans="1:15" ht="13.8">
      <c r="A28" s="19" t="s">
        <v>17</v>
      </c>
      <c r="B28" s="21" t="s">
        <v>68</v>
      </c>
      <c r="C28" s="25"/>
      <c r="D28" s="25"/>
      <c r="E28" s="25"/>
      <c r="F28" s="25"/>
      <c r="G28" s="25"/>
      <c r="H28" s="25"/>
      <c r="I28" s="25"/>
      <c r="J28" s="21" t="s">
        <v>58</v>
      </c>
      <c r="K28" s="19"/>
      <c r="L28" s="19"/>
      <c r="M28" s="19"/>
      <c r="N28" s="19"/>
      <c r="O28" s="19"/>
    </row>
    <row r="29" spans="1:15" ht="13.8">
      <c r="A29" s="26" t="s">
        <v>59</v>
      </c>
      <c r="B29" s="28" t="s">
        <v>60</v>
      </c>
      <c r="C29" s="28" t="s">
        <v>26</v>
      </c>
      <c r="D29" s="30" t="s">
        <v>69</v>
      </c>
      <c r="E29" s="28" t="s">
        <v>81</v>
      </c>
      <c r="F29" s="29"/>
      <c r="G29" s="28" t="s">
        <v>62</v>
      </c>
      <c r="H29" s="28" t="s">
        <v>30</v>
      </c>
      <c r="I29" s="28" t="s">
        <v>61</v>
      </c>
      <c r="J29" s="28" t="s">
        <v>64</v>
      </c>
      <c r="K29" s="19"/>
      <c r="L29" s="19"/>
      <c r="M29" s="19"/>
      <c r="N29" s="19"/>
      <c r="O29" s="19"/>
    </row>
    <row r="30" spans="1:15" ht="14.4">
      <c r="A30" s="19"/>
      <c r="B30" s="167" t="s">
        <v>89</v>
      </c>
      <c r="C30" s="167"/>
      <c r="D30" s="167"/>
      <c r="E30" s="167"/>
      <c r="F30" s="167"/>
      <c r="G30" s="167"/>
      <c r="H30" s="167"/>
      <c r="I30" s="167"/>
      <c r="J30" s="167"/>
      <c r="K30" s="19"/>
      <c r="L30" s="19"/>
      <c r="M30" s="19"/>
      <c r="N30" s="19"/>
      <c r="O30" s="19"/>
    </row>
    <row r="31" spans="1:15" ht="13.8">
      <c r="A31" s="23" t="s">
        <v>35</v>
      </c>
      <c r="B31" s="104">
        <v>44.537999999999997</v>
      </c>
      <c r="C31" s="106">
        <v>399.91800000000001</v>
      </c>
      <c r="D31" s="104">
        <v>21.365218272682</v>
      </c>
      <c r="E31" s="112">
        <f>B31+C31+D31</f>
        <v>465.82121827268202</v>
      </c>
      <c r="F31" s="105"/>
      <c r="G31" s="106">
        <f>I31-H31</f>
        <v>355.51274692573605</v>
      </c>
      <c r="H31" s="106">
        <v>62.100471346945994</v>
      </c>
      <c r="I31" s="106">
        <f>E31-J31</f>
        <v>417.61321827268205</v>
      </c>
      <c r="J31" s="106">
        <v>48.207999999999998</v>
      </c>
      <c r="K31" s="19"/>
      <c r="L31" s="19"/>
      <c r="M31" s="19"/>
      <c r="N31" s="19"/>
      <c r="O31" s="19"/>
    </row>
    <row r="32" spans="1:15" ht="16.2">
      <c r="A32" s="23" t="s">
        <v>171</v>
      </c>
      <c r="B32" s="104">
        <f>J31</f>
        <v>48.207999999999998</v>
      </c>
      <c r="C32" s="106">
        <v>400</v>
      </c>
      <c r="D32" s="104">
        <v>5</v>
      </c>
      <c r="E32" s="112">
        <f>B32+C32+D32</f>
        <v>453.20799999999997</v>
      </c>
      <c r="F32" s="105"/>
      <c r="G32" s="106">
        <f>I32-H32</f>
        <v>313.20799999999997</v>
      </c>
      <c r="H32" s="106">
        <v>95</v>
      </c>
      <c r="I32" s="106">
        <f>E32-J32</f>
        <v>408.20799999999997</v>
      </c>
      <c r="J32" s="106">
        <v>45</v>
      </c>
      <c r="K32" s="19"/>
      <c r="L32" s="19"/>
      <c r="M32" s="19"/>
      <c r="N32" s="19"/>
      <c r="O32" s="19"/>
    </row>
    <row r="33" spans="1:15" ht="16.2">
      <c r="A33" s="17" t="s">
        <v>172</v>
      </c>
      <c r="B33" s="108">
        <f>J32</f>
        <v>45</v>
      </c>
      <c r="C33" s="110">
        <v>410</v>
      </c>
      <c r="D33" s="108">
        <v>5</v>
      </c>
      <c r="E33" s="113">
        <f>B33+C33+D33</f>
        <v>460</v>
      </c>
      <c r="F33" s="109"/>
      <c r="G33" s="110">
        <f>I33-H33</f>
        <v>350</v>
      </c>
      <c r="H33" s="110">
        <v>65</v>
      </c>
      <c r="I33" s="110">
        <f>E33-J33</f>
        <v>415</v>
      </c>
      <c r="J33" s="110">
        <v>45</v>
      </c>
      <c r="K33" s="19"/>
      <c r="L33" s="19"/>
      <c r="M33" s="19"/>
      <c r="N33" s="19"/>
      <c r="O33" s="19"/>
    </row>
    <row r="34" spans="1:15" ht="16.2">
      <c r="A34" s="58" t="s">
        <v>83</v>
      </c>
      <c r="B34" s="19"/>
      <c r="C34" s="102"/>
      <c r="D34" s="102"/>
      <c r="E34" s="102"/>
      <c r="F34" s="102"/>
      <c r="G34" s="102"/>
      <c r="H34" s="102"/>
      <c r="I34" s="19"/>
      <c r="J34" s="19"/>
      <c r="K34" s="19"/>
      <c r="L34" s="19"/>
      <c r="M34" s="19"/>
      <c r="N34" s="19"/>
      <c r="O34" s="19"/>
    </row>
    <row r="35" spans="1:15" ht="14.4">
      <c r="A35" s="19" t="s">
        <v>88</v>
      </c>
      <c r="B35" s="38"/>
      <c r="C35" s="44"/>
      <c r="D35" s="38"/>
      <c r="E35" s="38"/>
      <c r="F35" s="38"/>
      <c r="G35" s="38"/>
      <c r="H35" s="38"/>
      <c r="I35" s="19"/>
      <c r="J35" s="19"/>
      <c r="K35" s="19"/>
      <c r="L35" s="19"/>
      <c r="M35" s="19"/>
      <c r="N35" s="19"/>
      <c r="O35" s="19"/>
    </row>
    <row r="36" spans="1:15" ht="13.8">
      <c r="A36" s="23"/>
      <c r="B36" s="23"/>
      <c r="C36" s="23"/>
      <c r="D36" s="23"/>
      <c r="E36" s="23"/>
      <c r="F36" s="23"/>
      <c r="G36" s="23"/>
      <c r="H36" s="23"/>
      <c r="I36" s="19"/>
      <c r="J36" s="19"/>
      <c r="K36" s="19"/>
      <c r="L36" s="19"/>
      <c r="M36" s="19"/>
      <c r="N36" s="19"/>
      <c r="O36" s="19"/>
    </row>
    <row r="37" spans="1:15" ht="13.8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3.8">
      <c r="A38" s="17" t="s">
        <v>7</v>
      </c>
      <c r="B38" s="17"/>
      <c r="C38" s="17"/>
      <c r="D38" s="17"/>
      <c r="E38" s="17"/>
      <c r="F38" s="17"/>
      <c r="G38" s="17"/>
      <c r="H38" s="17"/>
      <c r="I38" s="17"/>
      <c r="J38" s="19"/>
      <c r="K38" s="19"/>
      <c r="L38" s="19"/>
      <c r="M38" s="19"/>
      <c r="N38" s="19"/>
      <c r="O38" s="19"/>
    </row>
    <row r="39" spans="1:15" ht="13.8">
      <c r="A39" s="19"/>
      <c r="B39" s="164" t="s">
        <v>13</v>
      </c>
      <c r="C39" s="164"/>
      <c r="D39" s="21" t="s">
        <v>14</v>
      </c>
      <c r="E39" s="164" t="s">
        <v>15</v>
      </c>
      <c r="F39" s="164"/>
      <c r="G39" s="164"/>
      <c r="H39" s="164"/>
      <c r="I39" s="19"/>
      <c r="J39" s="164" t="s">
        <v>57</v>
      </c>
      <c r="K39" s="164"/>
      <c r="L39" s="164"/>
      <c r="M39" s="164"/>
      <c r="N39" s="164"/>
      <c r="O39" s="100"/>
    </row>
    <row r="40" spans="1:15" ht="13.8">
      <c r="A40" s="19" t="s">
        <v>17</v>
      </c>
      <c r="B40" s="21" t="s">
        <v>18</v>
      </c>
      <c r="C40" s="21" t="s">
        <v>19</v>
      </c>
      <c r="D40" s="19"/>
      <c r="E40" s="21" t="s">
        <v>68</v>
      </c>
      <c r="F40" s="21"/>
      <c r="G40" s="21"/>
      <c r="H40" s="21"/>
      <c r="I40" s="19"/>
      <c r="J40" s="114" t="s">
        <v>86</v>
      </c>
      <c r="K40" s="21"/>
      <c r="L40" s="21" t="s">
        <v>22</v>
      </c>
      <c r="M40" s="21"/>
      <c r="N40" s="21"/>
      <c r="O40" s="21" t="s">
        <v>58</v>
      </c>
    </row>
    <row r="41" spans="1:15" ht="13.8">
      <c r="A41" s="26" t="s">
        <v>76</v>
      </c>
      <c r="B41" s="27"/>
      <c r="C41" s="27"/>
      <c r="D41" s="27"/>
      <c r="E41" s="28" t="s">
        <v>60</v>
      </c>
      <c r="F41" s="28" t="s">
        <v>26</v>
      </c>
      <c r="G41" s="28" t="s">
        <v>69</v>
      </c>
      <c r="H41" s="28" t="s">
        <v>81</v>
      </c>
      <c r="I41" s="28"/>
      <c r="J41" s="28" t="s">
        <v>90</v>
      </c>
      <c r="K41" s="28" t="s">
        <v>79</v>
      </c>
      <c r="L41" s="28" t="s">
        <v>29</v>
      </c>
      <c r="M41" s="30" t="s">
        <v>30</v>
      </c>
      <c r="N41" s="28" t="s">
        <v>61</v>
      </c>
      <c r="O41" s="28" t="s">
        <v>64</v>
      </c>
    </row>
    <row r="42" spans="1:15" ht="14.4">
      <c r="A42" s="19"/>
      <c r="B42" s="168" t="s">
        <v>91</v>
      </c>
      <c r="C42" s="169"/>
      <c r="D42" s="115" t="s">
        <v>92</v>
      </c>
      <c r="E42" s="170" t="s">
        <v>93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9"/>
    </row>
    <row r="43" spans="1:15" ht="13.8">
      <c r="A43" s="19"/>
      <c r="B43" s="21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13.8">
      <c r="A44" s="23" t="s">
        <v>35</v>
      </c>
      <c r="B44" s="103">
        <v>1662.5</v>
      </c>
      <c r="C44" s="103">
        <v>1615.2</v>
      </c>
      <c r="D44" s="103">
        <f>F44*1000/C44</f>
        <v>3812.7476473501733</v>
      </c>
      <c r="E44" s="103">
        <v>2118.1880000000001</v>
      </c>
      <c r="F44" s="103">
        <v>6158.35</v>
      </c>
      <c r="G44" s="106">
        <v>121.04780464882167</v>
      </c>
      <c r="H44" s="103">
        <f>SUM(E44:G44)</f>
        <v>8397.5858046488229</v>
      </c>
      <c r="I44" s="103"/>
      <c r="J44" s="103">
        <v>3357.2</v>
      </c>
      <c r="K44" s="103">
        <v>872.91017669999985</v>
      </c>
      <c r="L44" s="106">
        <v>782.5619895425192</v>
      </c>
      <c r="M44" s="106">
        <v>1416.75</v>
      </c>
      <c r="N44" s="103">
        <f>H44-O44</f>
        <v>6429.4238046488226</v>
      </c>
      <c r="O44" s="103">
        <v>1968.162</v>
      </c>
    </row>
    <row r="45" spans="1:15" ht="16.2">
      <c r="A45" s="23" t="s">
        <v>171</v>
      </c>
      <c r="B45" s="103">
        <v>1585.2</v>
      </c>
      <c r="C45" s="103">
        <v>1545</v>
      </c>
      <c r="D45" s="103">
        <f>F45*1000/C45</f>
        <v>4135.46925566343</v>
      </c>
      <c r="E45" s="103">
        <f>O44</f>
        <v>1968.162</v>
      </c>
      <c r="F45" s="103">
        <v>6389.3</v>
      </c>
      <c r="G45" s="106">
        <v>115</v>
      </c>
      <c r="H45" s="103">
        <f>SUM(E45:G45)</f>
        <v>8472.4619999999995</v>
      </c>
      <c r="I45" s="103"/>
      <c r="J45" s="103">
        <v>3390.7559999999999</v>
      </c>
      <c r="K45" s="103">
        <v>875</v>
      </c>
      <c r="L45" s="106">
        <v>660.30500000000006</v>
      </c>
      <c r="M45" s="106">
        <v>1215</v>
      </c>
      <c r="N45" s="103">
        <f>H45-O45</f>
        <v>6141.0613826135996</v>
      </c>
      <c r="O45" s="103">
        <v>2331.4006173864</v>
      </c>
    </row>
    <row r="46" spans="1:15" ht="16.2">
      <c r="A46" s="17" t="s">
        <v>172</v>
      </c>
      <c r="B46" s="107">
        <v>1571</v>
      </c>
      <c r="C46" s="107">
        <v>1508.1599999999999</v>
      </c>
      <c r="D46" s="107">
        <f>F46*1000/C46</f>
        <v>4150.7532357309574</v>
      </c>
      <c r="E46" s="107">
        <f>O45</f>
        <v>2331.4006173864</v>
      </c>
      <c r="F46" s="107">
        <v>6260</v>
      </c>
      <c r="G46" s="110">
        <v>110</v>
      </c>
      <c r="H46" s="107">
        <f>SUM(E46:G46)</f>
        <v>8701.4006173864</v>
      </c>
      <c r="I46" s="107"/>
      <c r="J46" s="107">
        <v>3437.6179999999999</v>
      </c>
      <c r="K46" s="107">
        <v>876.40000000000009</v>
      </c>
      <c r="L46" s="110">
        <v>824.25</v>
      </c>
      <c r="M46" s="110">
        <v>1250</v>
      </c>
      <c r="N46" s="107">
        <f>H46-O46</f>
        <v>6388.2679104288836</v>
      </c>
      <c r="O46" s="107">
        <v>2313.1327069575163</v>
      </c>
    </row>
    <row r="47" spans="1:15" ht="16.2">
      <c r="A47" s="58" t="s">
        <v>83</v>
      </c>
      <c r="B47" s="19"/>
      <c r="C47" s="102"/>
      <c r="D47" s="102"/>
      <c r="E47" s="102"/>
      <c r="F47" s="102"/>
      <c r="G47" s="102"/>
      <c r="H47" s="102"/>
      <c r="I47" s="19"/>
      <c r="J47" s="19"/>
      <c r="K47" s="19"/>
      <c r="L47" s="19"/>
      <c r="M47" s="19"/>
      <c r="N47" s="19"/>
      <c r="O47" s="19"/>
    </row>
    <row r="48" spans="1:15" ht="14.4">
      <c r="A48" s="19" t="s">
        <v>94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4.4">
      <c r="A49" s="19" t="s">
        <v>85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3.8">
      <c r="A50" s="25" t="s">
        <v>55</v>
      </c>
      <c r="B50" s="116">
        <f ca="1">NOW()</f>
        <v>44694.651039583332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44.4" customHeight="1">
      <c r="A51" s="117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</row>
    <row r="52" spans="1:15" ht="15.6">
      <c r="G52" s="84"/>
      <c r="H52" s="84"/>
    </row>
    <row r="53" spans="1:15" ht="15.6">
      <c r="G53" s="84"/>
      <c r="H53" s="84"/>
    </row>
    <row r="54" spans="1:15" ht="15.6">
      <c r="G54" s="84"/>
      <c r="H54" s="84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11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4"/>
  <sheetViews>
    <sheetView showGridLines="0" zoomScale="70" zoomScaleNormal="70" workbookViewId="0"/>
  </sheetViews>
  <sheetFormatPr defaultColWidth="9.109375" defaultRowHeight="13.2"/>
  <cols>
    <col min="1" max="1" width="11.6640625" style="18" customWidth="1"/>
    <col min="2" max="2" width="18.88671875" style="18" bestFit="1" customWidth="1"/>
    <col min="3" max="3" width="22.109375" style="18" bestFit="1" customWidth="1"/>
    <col min="4" max="5" width="25.6640625" style="18" bestFit="1" customWidth="1"/>
    <col min="6" max="6" width="16.6640625" style="18" bestFit="1" customWidth="1"/>
    <col min="7" max="7" width="18.88671875" style="18" bestFit="1" customWidth="1"/>
    <col min="8" max="16384" width="9.109375" style="18"/>
  </cols>
  <sheetData>
    <row r="1" spans="1:8" ht="15.6" customHeight="1">
      <c r="A1" s="17" t="s">
        <v>8</v>
      </c>
      <c r="B1" s="17"/>
      <c r="C1" s="17"/>
      <c r="D1" s="17"/>
      <c r="E1" s="17"/>
      <c r="F1" s="17"/>
      <c r="G1" s="17"/>
      <c r="H1" s="59"/>
    </row>
    <row r="2" spans="1:8" ht="15.6" customHeight="1">
      <c r="A2" s="23" t="s">
        <v>95</v>
      </c>
      <c r="B2" s="40" t="s">
        <v>96</v>
      </c>
      <c r="C2" s="40" t="s">
        <v>97</v>
      </c>
      <c r="D2" s="40" t="s">
        <v>98</v>
      </c>
      <c r="E2" s="40" t="s">
        <v>99</v>
      </c>
      <c r="F2" s="40" t="s">
        <v>100</v>
      </c>
      <c r="G2" s="40" t="s">
        <v>101</v>
      </c>
      <c r="H2" s="59"/>
    </row>
    <row r="3" spans="1:8" ht="15.6" customHeight="1">
      <c r="A3" s="17" t="s">
        <v>102</v>
      </c>
      <c r="B3" s="29"/>
      <c r="C3" s="65"/>
      <c r="D3" s="65"/>
      <c r="E3" s="65"/>
      <c r="F3" s="65"/>
      <c r="G3" s="65"/>
      <c r="H3" s="59"/>
    </row>
    <row r="4" spans="1:8" ht="14.4">
      <c r="A4" s="66"/>
      <c r="B4" s="67" t="s">
        <v>103</v>
      </c>
      <c r="C4" s="67" t="s">
        <v>104</v>
      </c>
      <c r="D4" s="67" t="s">
        <v>105</v>
      </c>
      <c r="E4" s="67" t="s">
        <v>105</v>
      </c>
      <c r="F4" s="67" t="s">
        <v>106</v>
      </c>
      <c r="G4" s="67" t="s">
        <v>103</v>
      </c>
      <c r="H4" s="59"/>
    </row>
    <row r="5" spans="1:8" ht="13.8">
      <c r="A5" s="19"/>
      <c r="B5" s="19"/>
      <c r="C5" s="19"/>
      <c r="D5" s="21"/>
      <c r="E5" s="19"/>
      <c r="F5" s="19"/>
      <c r="G5" s="19"/>
      <c r="H5" s="59"/>
    </row>
    <row r="6" spans="1:8" ht="13.8">
      <c r="A6" s="19" t="s">
        <v>107</v>
      </c>
      <c r="B6" s="68">
        <v>11.3</v>
      </c>
      <c r="C6" s="68">
        <v>161</v>
      </c>
      <c r="D6" s="68">
        <v>23.3</v>
      </c>
      <c r="E6" s="68">
        <v>19.3</v>
      </c>
      <c r="F6" s="68">
        <v>22.5</v>
      </c>
      <c r="G6" s="68">
        <v>12.2</v>
      </c>
      <c r="H6" s="59"/>
    </row>
    <row r="7" spans="1:8" ht="13.8">
      <c r="A7" s="19" t="s">
        <v>108</v>
      </c>
      <c r="B7" s="68">
        <v>12.5</v>
      </c>
      <c r="C7" s="68">
        <v>260</v>
      </c>
      <c r="D7" s="68">
        <v>29.1</v>
      </c>
      <c r="E7" s="68">
        <v>24</v>
      </c>
      <c r="F7" s="68">
        <v>31.8</v>
      </c>
      <c r="G7" s="68">
        <v>13.9</v>
      </c>
      <c r="H7" s="59"/>
    </row>
    <row r="8" spans="1:8" ht="13.8">
      <c r="A8" s="19" t="s">
        <v>109</v>
      </c>
      <c r="B8" s="68">
        <v>14.4</v>
      </c>
      <c r="C8" s="68">
        <v>252</v>
      </c>
      <c r="D8" s="68">
        <v>25.4</v>
      </c>
      <c r="E8" s="68">
        <v>26.5</v>
      </c>
      <c r="F8" s="68">
        <v>30.1</v>
      </c>
      <c r="G8" s="68">
        <v>13.8</v>
      </c>
      <c r="H8" s="59"/>
    </row>
    <row r="9" spans="1:8" ht="13.8">
      <c r="A9" s="19" t="s">
        <v>110</v>
      </c>
      <c r="B9" s="68">
        <v>13</v>
      </c>
      <c r="C9" s="68">
        <v>246</v>
      </c>
      <c r="D9" s="68">
        <v>21.4</v>
      </c>
      <c r="E9" s="68">
        <v>20.6</v>
      </c>
      <c r="F9" s="68">
        <v>24.9</v>
      </c>
      <c r="G9" s="68">
        <v>13.8</v>
      </c>
      <c r="H9" s="59"/>
    </row>
    <row r="10" spans="1:8" ht="13.8">
      <c r="A10" s="19" t="s">
        <v>111</v>
      </c>
      <c r="B10" s="68">
        <v>10.1</v>
      </c>
      <c r="C10" s="68">
        <v>194</v>
      </c>
      <c r="D10" s="68">
        <v>21.7</v>
      </c>
      <c r="E10" s="68">
        <v>16.899999999999999</v>
      </c>
      <c r="F10" s="68">
        <v>22</v>
      </c>
      <c r="G10" s="68">
        <v>11.8</v>
      </c>
      <c r="H10" s="59"/>
    </row>
    <row r="11" spans="1:8" ht="13.8">
      <c r="A11" s="19" t="s">
        <v>112</v>
      </c>
      <c r="B11" s="68">
        <v>8.9499999999999993</v>
      </c>
      <c r="C11" s="68">
        <v>227</v>
      </c>
      <c r="D11" s="68">
        <v>19.600000000000001</v>
      </c>
      <c r="E11" s="68">
        <v>15.6</v>
      </c>
      <c r="F11" s="68">
        <v>19.3</v>
      </c>
      <c r="G11" s="68">
        <v>8.9499999999999993</v>
      </c>
      <c r="H11" s="59"/>
    </row>
    <row r="12" spans="1:8" ht="13.8">
      <c r="A12" s="19" t="s">
        <v>113</v>
      </c>
      <c r="B12" s="68">
        <v>9.4700000000000006</v>
      </c>
      <c r="C12" s="68">
        <v>195</v>
      </c>
      <c r="D12" s="68">
        <v>17.399999999999999</v>
      </c>
      <c r="E12" s="68">
        <v>16.600000000000001</v>
      </c>
      <c r="F12" s="68">
        <v>19.7</v>
      </c>
      <c r="G12" s="68">
        <v>8</v>
      </c>
      <c r="H12" s="59"/>
    </row>
    <row r="13" spans="1:8" ht="13.8">
      <c r="A13" s="19" t="s">
        <v>114</v>
      </c>
      <c r="B13" s="68">
        <v>9.33</v>
      </c>
      <c r="C13" s="68">
        <v>142</v>
      </c>
      <c r="D13" s="68">
        <v>17.2</v>
      </c>
      <c r="E13" s="68">
        <v>17.5</v>
      </c>
      <c r="F13" s="68">
        <v>22.9</v>
      </c>
      <c r="G13" s="68">
        <v>9.5299999999999994</v>
      </c>
      <c r="H13" s="59"/>
    </row>
    <row r="14" spans="1:8" ht="13.8">
      <c r="A14" s="19" t="s">
        <v>115</v>
      </c>
      <c r="B14" s="68">
        <v>8.48</v>
      </c>
      <c r="C14" s="68">
        <v>155</v>
      </c>
      <c r="D14" s="68">
        <v>17.399999999999999</v>
      </c>
      <c r="E14" s="68">
        <v>15.8</v>
      </c>
      <c r="F14" s="68">
        <v>21.5</v>
      </c>
      <c r="G14" s="68">
        <v>9.89</v>
      </c>
      <c r="H14" s="59"/>
    </row>
    <row r="15" spans="1:8" ht="13.8">
      <c r="A15" s="19" t="s">
        <v>34</v>
      </c>
      <c r="B15" s="68">
        <v>8.57</v>
      </c>
      <c r="C15" s="68">
        <v>161</v>
      </c>
      <c r="D15" s="68">
        <v>19.5</v>
      </c>
      <c r="E15" s="68">
        <v>14.8</v>
      </c>
      <c r="F15" s="68">
        <v>20.5</v>
      </c>
      <c r="G15" s="68">
        <v>9.15</v>
      </c>
      <c r="H15" s="59"/>
    </row>
    <row r="16" spans="1:8" ht="13.8">
      <c r="A16" s="19" t="s">
        <v>35</v>
      </c>
      <c r="B16" s="68">
        <v>10.8</v>
      </c>
      <c r="C16" s="68">
        <v>194</v>
      </c>
      <c r="D16" s="68">
        <v>21.3</v>
      </c>
      <c r="E16" s="68">
        <v>18.400000000000002</v>
      </c>
      <c r="F16" s="68">
        <v>21</v>
      </c>
      <c r="G16" s="68">
        <v>11.102000000000002</v>
      </c>
      <c r="H16" s="59"/>
    </row>
    <row r="17" spans="1:8" ht="16.2">
      <c r="A17" s="19" t="s">
        <v>116</v>
      </c>
      <c r="B17" s="68">
        <v>13.25</v>
      </c>
      <c r="C17" s="68">
        <v>242</v>
      </c>
      <c r="D17" s="68">
        <v>32.300000000000004</v>
      </c>
      <c r="E17" s="68">
        <v>32.9</v>
      </c>
      <c r="F17" s="68">
        <v>24.2</v>
      </c>
      <c r="G17" s="68">
        <v>26.695200000000003</v>
      </c>
      <c r="H17" s="59"/>
    </row>
    <row r="18" spans="1:8" ht="16.2">
      <c r="A18" s="19" t="s">
        <v>173</v>
      </c>
      <c r="B18" s="68">
        <v>14.4</v>
      </c>
      <c r="C18" s="68">
        <v>224</v>
      </c>
      <c r="D18" s="68">
        <v>34.800000000000004</v>
      </c>
      <c r="E18" s="68">
        <v>35</v>
      </c>
      <c r="F18" s="68">
        <v>24.5</v>
      </c>
      <c r="G18" s="68">
        <v>24.64</v>
      </c>
      <c r="H18" s="59"/>
    </row>
    <row r="19" spans="1:8" ht="13.8">
      <c r="A19" s="23"/>
      <c r="B19" s="69"/>
      <c r="C19" s="70"/>
      <c r="D19" s="71"/>
      <c r="E19" s="71"/>
      <c r="F19" s="72"/>
      <c r="G19" s="73"/>
      <c r="H19" s="60"/>
    </row>
    <row r="20" spans="1:8" ht="13.8">
      <c r="A20" s="74" t="s">
        <v>35</v>
      </c>
      <c r="B20" s="68"/>
      <c r="C20" s="68"/>
      <c r="D20" s="68"/>
      <c r="E20" s="68"/>
      <c r="F20" s="68"/>
      <c r="G20" s="68"/>
    </row>
    <row r="21" spans="1:8" ht="13.8">
      <c r="A21" s="23" t="s">
        <v>36</v>
      </c>
      <c r="B21" s="68">
        <v>9.24</v>
      </c>
      <c r="C21" s="68">
        <v>164</v>
      </c>
      <c r="D21" s="68">
        <v>23.7</v>
      </c>
      <c r="E21" s="68">
        <v>16.399999999999999</v>
      </c>
      <c r="F21" s="68">
        <v>20.5</v>
      </c>
      <c r="G21" s="68">
        <v>9.64</v>
      </c>
    </row>
    <row r="22" spans="1:8" ht="13.8">
      <c r="A22" s="23" t="s">
        <v>37</v>
      </c>
      <c r="B22" s="68">
        <v>9.6300000000000008</v>
      </c>
      <c r="C22" s="68">
        <v>189</v>
      </c>
      <c r="D22" s="68">
        <v>19.100000000000001</v>
      </c>
      <c r="E22" s="68">
        <v>16.2</v>
      </c>
      <c r="F22" s="68">
        <v>20.9</v>
      </c>
      <c r="G22" s="68">
        <v>9.76</v>
      </c>
    </row>
    <row r="23" spans="1:8" ht="13.8">
      <c r="A23" s="23" t="s">
        <v>38</v>
      </c>
      <c r="B23" s="68">
        <v>10.3</v>
      </c>
      <c r="C23" s="68">
        <v>199</v>
      </c>
      <c r="D23" s="68">
        <v>18.899999999999999</v>
      </c>
      <c r="E23" s="68">
        <v>18.100000000000001</v>
      </c>
      <c r="F23" s="68">
        <v>21.2</v>
      </c>
      <c r="G23" s="68">
        <v>10.7</v>
      </c>
    </row>
    <row r="24" spans="1:8" ht="13.8">
      <c r="A24" s="23" t="s">
        <v>40</v>
      </c>
      <c r="B24" s="68">
        <v>10.6</v>
      </c>
      <c r="C24" s="68">
        <v>195</v>
      </c>
      <c r="D24" s="68">
        <v>19.2</v>
      </c>
      <c r="E24" s="68">
        <v>17.2</v>
      </c>
      <c r="F24" s="68">
        <v>20.399999999999999</v>
      </c>
      <c r="G24" s="68">
        <v>10.9</v>
      </c>
    </row>
    <row r="25" spans="1:8" ht="13.8">
      <c r="A25" s="23" t="s">
        <v>41</v>
      </c>
      <c r="B25" s="68">
        <v>10.9</v>
      </c>
      <c r="C25" s="68">
        <v>209</v>
      </c>
      <c r="D25" s="68">
        <v>19.5</v>
      </c>
      <c r="E25" s="68">
        <v>18.8</v>
      </c>
      <c r="F25" s="68">
        <v>20.5</v>
      </c>
      <c r="G25" s="68">
        <v>12</v>
      </c>
    </row>
    <row r="26" spans="1:8" ht="13.8">
      <c r="A26" s="23" t="s">
        <v>42</v>
      </c>
      <c r="B26" s="68">
        <v>12.7</v>
      </c>
      <c r="C26" s="68">
        <v>185</v>
      </c>
      <c r="D26" s="68">
        <v>21.4</v>
      </c>
      <c r="E26" s="68">
        <v>20.399999999999999</v>
      </c>
      <c r="F26" s="68">
        <v>20.5</v>
      </c>
      <c r="G26" s="68">
        <v>13.2</v>
      </c>
    </row>
    <row r="27" spans="1:8" ht="13.8">
      <c r="A27" s="23" t="s">
        <v>44</v>
      </c>
      <c r="B27" s="68">
        <v>13.2</v>
      </c>
      <c r="C27" s="68" t="s">
        <v>74</v>
      </c>
      <c r="D27" s="68">
        <v>21.5</v>
      </c>
      <c r="E27" s="68">
        <v>22</v>
      </c>
      <c r="F27" s="68">
        <v>21.2</v>
      </c>
      <c r="G27" s="68">
        <v>15.7</v>
      </c>
    </row>
    <row r="28" spans="1:8" ht="13.8">
      <c r="A28" s="23" t="s">
        <v>45</v>
      </c>
      <c r="B28" s="68">
        <v>13.9</v>
      </c>
      <c r="C28" s="68" t="s">
        <v>74</v>
      </c>
      <c r="D28" s="68">
        <v>23.7</v>
      </c>
      <c r="E28" s="68">
        <v>23.8</v>
      </c>
      <c r="F28" s="68">
        <v>21.4</v>
      </c>
      <c r="G28" s="68">
        <v>18.100000000000001</v>
      </c>
    </row>
    <row r="29" spans="1:8" ht="13.8">
      <c r="A29" s="23" t="s">
        <v>46</v>
      </c>
      <c r="B29" s="68">
        <v>14.8</v>
      </c>
      <c r="C29" s="68" t="s">
        <v>74</v>
      </c>
      <c r="D29" s="68">
        <v>26.4</v>
      </c>
      <c r="E29" s="68">
        <v>26.1</v>
      </c>
      <c r="F29" s="68">
        <v>21.3</v>
      </c>
      <c r="G29" s="68">
        <v>18.3</v>
      </c>
    </row>
    <row r="30" spans="1:8" ht="13.8">
      <c r="A30" s="23" t="s">
        <v>48</v>
      </c>
      <c r="B30" s="68">
        <v>14.5</v>
      </c>
      <c r="C30" s="68" t="s">
        <v>74</v>
      </c>
      <c r="D30" s="68">
        <v>28.4</v>
      </c>
      <c r="E30" s="68">
        <v>26</v>
      </c>
      <c r="F30" s="68">
        <v>21.3</v>
      </c>
      <c r="G30" s="68">
        <v>19.899999999999999</v>
      </c>
    </row>
    <row r="31" spans="1:8" ht="13.8">
      <c r="A31" s="23" t="s">
        <v>49</v>
      </c>
      <c r="B31" s="68">
        <v>14.1</v>
      </c>
      <c r="C31" s="68" t="s">
        <v>74</v>
      </c>
      <c r="D31" s="68">
        <v>28</v>
      </c>
      <c r="E31" s="68">
        <v>27.7</v>
      </c>
      <c r="F31" s="68">
        <v>21.6</v>
      </c>
      <c r="G31" s="68">
        <v>20.100000000000001</v>
      </c>
    </row>
    <row r="32" spans="1:8" ht="13.8">
      <c r="A32" s="23" t="s">
        <v>50</v>
      </c>
      <c r="B32" s="68">
        <v>13.7</v>
      </c>
      <c r="C32" s="68">
        <v>255</v>
      </c>
      <c r="D32" s="68">
        <v>29.4</v>
      </c>
      <c r="E32" s="68">
        <v>30.9</v>
      </c>
      <c r="F32" s="68">
        <v>21.3</v>
      </c>
      <c r="G32" s="68">
        <v>20.2</v>
      </c>
    </row>
    <row r="33" spans="1:7" ht="13.8">
      <c r="A33" s="23"/>
      <c r="B33" s="147"/>
      <c r="C33" s="147"/>
      <c r="D33" s="147"/>
      <c r="E33" s="147"/>
      <c r="F33" s="147"/>
      <c r="G33" s="147"/>
    </row>
    <row r="34" spans="1:7" ht="13.8">
      <c r="A34" s="74" t="s">
        <v>52</v>
      </c>
      <c r="B34" s="68"/>
      <c r="C34" s="68"/>
      <c r="D34" s="68"/>
      <c r="E34" s="68"/>
      <c r="F34" s="68"/>
      <c r="G34" s="68"/>
    </row>
    <row r="35" spans="1:7" ht="13.8">
      <c r="A35" s="23" t="s">
        <v>36</v>
      </c>
      <c r="B35" s="68">
        <v>12.2</v>
      </c>
      <c r="C35" s="68">
        <v>235</v>
      </c>
      <c r="D35" s="68">
        <v>30.7</v>
      </c>
      <c r="E35" s="68">
        <v>28.7</v>
      </c>
      <c r="F35" s="68">
        <v>22.3</v>
      </c>
      <c r="G35" s="68">
        <v>19.8</v>
      </c>
    </row>
    <row r="36" spans="1:7" ht="13.8">
      <c r="A36" s="23" t="s">
        <v>37</v>
      </c>
      <c r="B36" s="68">
        <v>11.9</v>
      </c>
      <c r="C36" s="68">
        <v>244</v>
      </c>
      <c r="D36" s="68">
        <v>30.5</v>
      </c>
      <c r="E36" s="68">
        <v>29.5</v>
      </c>
      <c r="F36" s="68">
        <v>24</v>
      </c>
      <c r="G36" s="68">
        <v>25.1</v>
      </c>
    </row>
    <row r="37" spans="1:7" ht="13.8">
      <c r="A37" s="23" t="s">
        <v>38</v>
      </c>
      <c r="B37" s="68">
        <v>12.2</v>
      </c>
      <c r="C37" s="68">
        <v>244</v>
      </c>
      <c r="D37" s="68">
        <v>30.2</v>
      </c>
      <c r="E37" s="68">
        <v>31.7</v>
      </c>
      <c r="F37" s="68">
        <v>25.4</v>
      </c>
      <c r="G37" s="68">
        <v>26.1</v>
      </c>
    </row>
    <row r="38" spans="1:7" ht="13.8">
      <c r="A38" s="23" t="s">
        <v>40</v>
      </c>
      <c r="B38" s="68">
        <v>12.5</v>
      </c>
      <c r="C38" s="68">
        <v>239</v>
      </c>
      <c r="D38" s="68">
        <v>31.7</v>
      </c>
      <c r="E38" s="68">
        <v>32.5</v>
      </c>
      <c r="F38" s="68">
        <v>24</v>
      </c>
      <c r="G38" s="68">
        <v>31.4</v>
      </c>
    </row>
    <row r="39" spans="1:7" ht="13.8">
      <c r="A39" s="23" t="s">
        <v>41</v>
      </c>
      <c r="B39" s="68">
        <v>12.9</v>
      </c>
      <c r="C39" s="68">
        <v>241</v>
      </c>
      <c r="D39" s="68">
        <v>31</v>
      </c>
      <c r="E39" s="68">
        <v>33.700000000000003</v>
      </c>
      <c r="F39" s="68">
        <v>26.1</v>
      </c>
      <c r="G39" s="68">
        <v>31</v>
      </c>
    </row>
    <row r="40" spans="1:7" ht="13.8">
      <c r="A40" s="23" t="s">
        <v>42</v>
      </c>
      <c r="B40" s="68">
        <v>14.8</v>
      </c>
      <c r="C40" s="68">
        <v>255</v>
      </c>
      <c r="D40" s="68">
        <v>32.1</v>
      </c>
      <c r="E40" s="68">
        <v>37</v>
      </c>
      <c r="F40" s="68">
        <v>24.5</v>
      </c>
      <c r="G40" s="68">
        <v>31.1</v>
      </c>
    </row>
    <row r="41" spans="1:7" ht="13.8">
      <c r="A41" s="17" t="s">
        <v>44</v>
      </c>
      <c r="B41" s="16">
        <v>15.4</v>
      </c>
      <c r="C41" s="16" t="s">
        <v>74</v>
      </c>
      <c r="D41" s="16">
        <v>33.9</v>
      </c>
      <c r="E41" s="16">
        <v>39.1</v>
      </c>
      <c r="F41" s="16">
        <v>25</v>
      </c>
      <c r="G41" s="16">
        <v>29.1</v>
      </c>
    </row>
    <row r="42" spans="1:7" ht="16.2">
      <c r="A42" s="19" t="s">
        <v>117</v>
      </c>
      <c r="B42" s="19"/>
      <c r="C42" s="19"/>
      <c r="D42" s="19"/>
      <c r="E42" s="19"/>
      <c r="F42" s="19"/>
      <c r="G42" s="19"/>
    </row>
    <row r="43" spans="1:7" ht="14.4">
      <c r="A43" s="19" t="s">
        <v>118</v>
      </c>
      <c r="B43" s="19"/>
      <c r="C43" s="19"/>
      <c r="D43" s="19"/>
      <c r="E43" s="19"/>
      <c r="F43" s="19"/>
      <c r="G43" s="19"/>
    </row>
    <row r="44" spans="1:7" ht="13.8">
      <c r="A44" s="25" t="s">
        <v>55</v>
      </c>
      <c r="B44" s="50">
        <f ca="1">NOW()</f>
        <v>44694.651039583332</v>
      </c>
      <c r="C44" s="19"/>
      <c r="D44" s="19"/>
      <c r="E44" s="19"/>
      <c r="F44" s="19"/>
      <c r="G44" s="19"/>
    </row>
  </sheetData>
  <phoneticPr fontId="11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N65"/>
  <sheetViews>
    <sheetView showGridLines="0" tabSelected="1" zoomScale="70" zoomScaleNormal="70" workbookViewId="0">
      <selection activeCell="G17" sqref="G17"/>
    </sheetView>
  </sheetViews>
  <sheetFormatPr defaultColWidth="9.109375" defaultRowHeight="13.2"/>
  <cols>
    <col min="1" max="2" width="11.6640625" style="18" customWidth="1"/>
    <col min="3" max="3" width="11.5546875" style="18" customWidth="1"/>
    <col min="4" max="4" width="13.6640625" style="18" customWidth="1"/>
    <col min="5" max="5" width="11.6640625" style="18" customWidth="1"/>
    <col min="6" max="6" width="11.5546875" style="18" bestFit="1" customWidth="1"/>
    <col min="7" max="7" width="10.6640625" style="18" customWidth="1"/>
    <col min="8" max="8" width="12" style="18" customWidth="1"/>
    <col min="9" max="9" width="13.44140625" style="18" customWidth="1"/>
    <col min="10" max="16384" width="9.109375" style="18"/>
  </cols>
  <sheetData>
    <row r="1" spans="1:9" ht="13.8">
      <c r="A1" s="17" t="s">
        <v>9</v>
      </c>
      <c r="B1" s="17"/>
      <c r="C1" s="17"/>
      <c r="D1" s="17"/>
      <c r="E1" s="17"/>
      <c r="F1" s="17"/>
      <c r="G1" s="17"/>
      <c r="H1" s="17"/>
      <c r="I1" s="19"/>
    </row>
    <row r="2" spans="1:9" ht="15.6" customHeight="1">
      <c r="A2" s="75" t="s">
        <v>95</v>
      </c>
      <c r="B2" s="40" t="s">
        <v>119</v>
      </c>
      <c r="C2" s="40" t="s">
        <v>120</v>
      </c>
      <c r="D2" s="40" t="s">
        <v>153</v>
      </c>
      <c r="E2" s="76" t="s">
        <v>121</v>
      </c>
      <c r="F2" s="76" t="s">
        <v>122</v>
      </c>
      <c r="G2" s="40" t="s">
        <v>123</v>
      </c>
      <c r="H2" s="40" t="s">
        <v>124</v>
      </c>
      <c r="I2" s="77" t="s">
        <v>125</v>
      </c>
    </row>
    <row r="3" spans="1:9" ht="15.6" customHeight="1">
      <c r="A3" s="78" t="s">
        <v>102</v>
      </c>
      <c r="B3" s="28" t="s">
        <v>126</v>
      </c>
      <c r="C3" s="28" t="s">
        <v>127</v>
      </c>
      <c r="D3" s="28" t="s">
        <v>128</v>
      </c>
      <c r="E3" s="28" t="s">
        <v>128</v>
      </c>
      <c r="F3" s="28" t="s">
        <v>129</v>
      </c>
      <c r="G3" s="28" t="s">
        <v>130</v>
      </c>
      <c r="H3" s="28"/>
      <c r="I3" s="28" t="s">
        <v>131</v>
      </c>
    </row>
    <row r="4" spans="1:9" ht="14.4">
      <c r="A4" s="79" t="s">
        <v>132</v>
      </c>
      <c r="C4" s="80"/>
      <c r="D4" s="80"/>
      <c r="E4" s="80"/>
      <c r="F4" s="80"/>
      <c r="G4" s="80"/>
      <c r="H4" s="80"/>
      <c r="I4" s="80"/>
    </row>
    <row r="5" spans="1:9" ht="13.8">
      <c r="A5" s="19"/>
      <c r="B5" s="19"/>
      <c r="C5" s="19"/>
      <c r="D5" s="19"/>
      <c r="E5" s="19"/>
      <c r="F5" s="19"/>
      <c r="G5" s="19"/>
      <c r="H5" s="19"/>
      <c r="I5" s="19"/>
    </row>
    <row r="6" spans="1:9" ht="13.8">
      <c r="A6" s="19" t="s">
        <v>107</v>
      </c>
      <c r="B6" s="68">
        <v>53.2</v>
      </c>
      <c r="C6" s="68">
        <v>54.5</v>
      </c>
      <c r="D6" s="68">
        <v>86.12</v>
      </c>
      <c r="E6" s="68">
        <v>58.68</v>
      </c>
      <c r="F6" s="68">
        <v>77.239999999999995</v>
      </c>
      <c r="G6" s="68">
        <v>60.76</v>
      </c>
      <c r="H6" s="68">
        <v>51.52</v>
      </c>
      <c r="I6" s="68">
        <v>51.34</v>
      </c>
    </row>
    <row r="7" spans="1:9" ht="13.8">
      <c r="A7" s="19" t="s">
        <v>108</v>
      </c>
      <c r="B7" s="68">
        <v>51.9</v>
      </c>
      <c r="C7" s="68">
        <v>53.22</v>
      </c>
      <c r="D7" s="68">
        <v>83.2</v>
      </c>
      <c r="E7" s="68">
        <v>57.19</v>
      </c>
      <c r="F7" s="68">
        <v>100.15</v>
      </c>
      <c r="G7" s="68">
        <v>56.09</v>
      </c>
      <c r="H7" s="68">
        <v>48.11</v>
      </c>
      <c r="I7" s="68">
        <v>50.33</v>
      </c>
    </row>
    <row r="8" spans="1:9" ht="13.8">
      <c r="A8" s="19" t="s">
        <v>109</v>
      </c>
      <c r="B8" s="68">
        <v>47.13</v>
      </c>
      <c r="C8" s="68">
        <v>48.6</v>
      </c>
      <c r="D8" s="68">
        <v>65.87</v>
      </c>
      <c r="E8" s="68">
        <v>56.17</v>
      </c>
      <c r="F8" s="68">
        <v>91.83</v>
      </c>
      <c r="G8" s="68">
        <v>46.66</v>
      </c>
      <c r="H8" s="68">
        <v>51.8</v>
      </c>
      <c r="I8" s="68">
        <v>43.24</v>
      </c>
    </row>
    <row r="9" spans="1:9" ht="13.8">
      <c r="A9" s="19" t="s">
        <v>110</v>
      </c>
      <c r="B9" s="68">
        <v>38.229999999999997</v>
      </c>
      <c r="C9" s="68">
        <v>60.66</v>
      </c>
      <c r="D9" s="68">
        <v>59.12</v>
      </c>
      <c r="E9" s="68">
        <v>43.7</v>
      </c>
      <c r="F9" s="68">
        <v>68.23</v>
      </c>
      <c r="G9" s="68">
        <v>39.43</v>
      </c>
      <c r="H9" s="68">
        <v>43.93</v>
      </c>
      <c r="I9" s="68">
        <v>39.76</v>
      </c>
    </row>
    <row r="10" spans="1:9" ht="13.8">
      <c r="A10" s="19" t="s">
        <v>111</v>
      </c>
      <c r="B10" s="68">
        <v>31.6</v>
      </c>
      <c r="C10" s="68">
        <v>45.74</v>
      </c>
      <c r="D10" s="68">
        <v>66.72</v>
      </c>
      <c r="E10" s="68">
        <v>37.81</v>
      </c>
      <c r="F10" s="68">
        <v>57.96</v>
      </c>
      <c r="G10" s="68">
        <v>37.479999999999997</v>
      </c>
      <c r="H10" s="68">
        <v>33.43</v>
      </c>
      <c r="I10" s="68">
        <v>31.36</v>
      </c>
    </row>
    <row r="11" spans="1:9" ht="13.8">
      <c r="A11" s="19" t="s">
        <v>112</v>
      </c>
      <c r="B11" s="68">
        <v>29.86</v>
      </c>
      <c r="C11" s="68">
        <v>45.87</v>
      </c>
      <c r="D11" s="68">
        <v>57.81</v>
      </c>
      <c r="E11" s="68">
        <v>35.270000000000003</v>
      </c>
      <c r="F11" s="68">
        <v>58.26</v>
      </c>
      <c r="G11" s="68">
        <v>39.25</v>
      </c>
      <c r="H11" s="68">
        <v>32.229999999999997</v>
      </c>
      <c r="I11" s="68">
        <v>30.07</v>
      </c>
    </row>
    <row r="12" spans="1:9" ht="13.8">
      <c r="A12" s="19" t="s">
        <v>113</v>
      </c>
      <c r="B12" s="68">
        <v>32.549999999999997</v>
      </c>
      <c r="C12" s="68">
        <v>40.92</v>
      </c>
      <c r="D12" s="68">
        <v>53.54</v>
      </c>
      <c r="E12" s="68">
        <v>38.729999999999997</v>
      </c>
      <c r="F12" s="68">
        <v>66.73</v>
      </c>
      <c r="G12" s="68">
        <v>37.43</v>
      </c>
      <c r="H12" s="68">
        <v>33.07</v>
      </c>
      <c r="I12" s="68">
        <v>34.75</v>
      </c>
    </row>
    <row r="13" spans="1:9" ht="13.8">
      <c r="A13" s="19" t="s">
        <v>114</v>
      </c>
      <c r="B13" s="68">
        <v>30.04</v>
      </c>
      <c r="C13" s="68">
        <v>31.87</v>
      </c>
      <c r="D13" s="68">
        <v>54.57</v>
      </c>
      <c r="E13" s="68">
        <v>38.270000000000003</v>
      </c>
      <c r="F13" s="68">
        <v>66.72</v>
      </c>
      <c r="G13" s="68">
        <v>30.35</v>
      </c>
      <c r="H13" s="68">
        <v>34.159999999999997</v>
      </c>
      <c r="I13" s="68">
        <v>31.21</v>
      </c>
    </row>
    <row r="14" spans="1:9" ht="13.8">
      <c r="A14" s="19" t="s">
        <v>115</v>
      </c>
      <c r="B14" s="68">
        <v>28.26</v>
      </c>
      <c r="C14" s="68">
        <v>35.14</v>
      </c>
      <c r="D14" s="68">
        <v>53.28</v>
      </c>
      <c r="E14" s="68">
        <v>36.090000000000003</v>
      </c>
      <c r="F14" s="68">
        <v>64.72</v>
      </c>
      <c r="G14" s="68">
        <v>26.93</v>
      </c>
      <c r="H14" s="68">
        <v>31.65</v>
      </c>
      <c r="I14" s="68">
        <v>33.11</v>
      </c>
    </row>
    <row r="15" spans="1:9" ht="13.8">
      <c r="A15" s="19" t="s">
        <v>34</v>
      </c>
      <c r="B15" s="68">
        <v>29.65</v>
      </c>
      <c r="C15" s="68">
        <v>40.18</v>
      </c>
      <c r="D15" s="68">
        <v>65.03</v>
      </c>
      <c r="E15" s="68">
        <v>37.869999999999997</v>
      </c>
      <c r="F15" s="68">
        <v>62</v>
      </c>
      <c r="G15" s="68">
        <v>39.47</v>
      </c>
      <c r="H15" s="68">
        <v>35.75</v>
      </c>
      <c r="I15" s="68">
        <v>38.369999999999997</v>
      </c>
    </row>
    <row r="16" spans="1:9" ht="13.8">
      <c r="A16" s="19" t="s">
        <v>35</v>
      </c>
      <c r="B16" s="68">
        <v>56.87</v>
      </c>
      <c r="C16" s="68">
        <v>80.94</v>
      </c>
      <c r="D16" s="68">
        <v>79</v>
      </c>
      <c r="E16" s="68">
        <v>70.459999999999994</v>
      </c>
      <c r="F16" s="68">
        <v>101.4</v>
      </c>
      <c r="G16" s="68">
        <v>53.88</v>
      </c>
      <c r="H16" s="68">
        <v>55.89</v>
      </c>
      <c r="I16" s="68">
        <v>54.98</v>
      </c>
    </row>
    <row r="17" spans="1:14" ht="16.2">
      <c r="A17" s="19" t="s">
        <v>133</v>
      </c>
      <c r="B17" s="68">
        <v>75</v>
      </c>
      <c r="C17" s="68">
        <v>105</v>
      </c>
      <c r="D17" s="68">
        <v>120</v>
      </c>
      <c r="E17" s="68">
        <v>92.000000000000014</v>
      </c>
      <c r="F17" s="68">
        <v>115.00000000000001</v>
      </c>
      <c r="G17" s="68">
        <v>61</v>
      </c>
      <c r="H17" s="68">
        <v>80</v>
      </c>
      <c r="I17" s="68">
        <v>80</v>
      </c>
      <c r="J17" s="133"/>
    </row>
    <row r="18" spans="1:14" ht="16.2">
      <c r="A18" s="19" t="s">
        <v>174</v>
      </c>
      <c r="B18" s="68">
        <v>70</v>
      </c>
      <c r="C18" s="68">
        <v>98</v>
      </c>
      <c r="D18" s="68">
        <v>115</v>
      </c>
      <c r="E18" s="68">
        <v>87</v>
      </c>
      <c r="F18" s="68">
        <v>105</v>
      </c>
      <c r="G18" s="68">
        <v>58</v>
      </c>
      <c r="H18" s="68">
        <v>75</v>
      </c>
      <c r="I18" s="68">
        <v>75</v>
      </c>
      <c r="J18" s="133"/>
    </row>
    <row r="19" spans="1:14" ht="13.8">
      <c r="A19" s="19"/>
      <c r="B19" s="38"/>
      <c r="C19" s="70"/>
      <c r="D19" s="81"/>
      <c r="E19" s="81"/>
      <c r="F19" s="81"/>
      <c r="G19" s="81"/>
      <c r="H19" s="19"/>
      <c r="I19" s="19"/>
    </row>
    <row r="20" spans="1:14" ht="13.8">
      <c r="A20" s="41" t="s">
        <v>35</v>
      </c>
      <c r="B20" s="68"/>
      <c r="C20" s="68"/>
      <c r="D20" s="68"/>
      <c r="E20" s="68"/>
      <c r="F20" s="68"/>
      <c r="G20" s="68"/>
      <c r="H20" s="68"/>
      <c r="I20" s="68"/>
    </row>
    <row r="21" spans="1:14" ht="13.8">
      <c r="A21" s="23" t="s">
        <v>37</v>
      </c>
      <c r="B21" s="68">
        <v>33.909999999999997</v>
      </c>
      <c r="C21" s="68">
        <v>48.35</v>
      </c>
      <c r="D21" s="68" t="s">
        <v>74</v>
      </c>
      <c r="E21" s="68">
        <v>44.35</v>
      </c>
      <c r="F21" s="68">
        <v>93</v>
      </c>
      <c r="G21" s="68">
        <v>43.15</v>
      </c>
      <c r="H21" s="68" t="s">
        <v>74</v>
      </c>
      <c r="I21" s="68">
        <v>34.5</v>
      </c>
      <c r="K21" s="149"/>
      <c r="L21" s="151"/>
      <c r="M21" s="152"/>
      <c r="N21" s="149"/>
    </row>
    <row r="22" spans="1:14" ht="13.8">
      <c r="A22" s="23" t="s">
        <v>38</v>
      </c>
      <c r="B22" s="68">
        <v>37.79</v>
      </c>
      <c r="C22" s="68">
        <v>54.4375</v>
      </c>
      <c r="D22" s="68" t="s">
        <v>74</v>
      </c>
      <c r="E22" s="68">
        <v>49.5</v>
      </c>
      <c r="F22" s="68">
        <v>98.75</v>
      </c>
      <c r="G22" s="68">
        <v>42.53</v>
      </c>
      <c r="H22" s="68">
        <v>41</v>
      </c>
      <c r="I22" s="68">
        <v>34</v>
      </c>
      <c r="K22" s="149"/>
      <c r="L22" s="151"/>
      <c r="M22" s="149"/>
      <c r="N22" s="149"/>
    </row>
    <row r="23" spans="1:14" ht="13.8">
      <c r="A23" s="23" t="s">
        <v>40</v>
      </c>
      <c r="B23" s="68">
        <v>40.85</v>
      </c>
      <c r="C23" s="68">
        <v>59.2</v>
      </c>
      <c r="D23" s="68" t="s">
        <v>74</v>
      </c>
      <c r="E23" s="68">
        <v>51.65</v>
      </c>
      <c r="F23" s="68">
        <v>100</v>
      </c>
      <c r="G23" s="68">
        <v>41.48</v>
      </c>
      <c r="H23" s="68">
        <v>41</v>
      </c>
      <c r="I23" s="68">
        <v>36.25</v>
      </c>
      <c r="K23" s="149"/>
      <c r="L23" s="151"/>
      <c r="M23" s="149"/>
      <c r="N23" s="149"/>
    </row>
    <row r="24" spans="1:14" ht="13.8">
      <c r="A24" s="23" t="s">
        <v>41</v>
      </c>
      <c r="B24" s="68">
        <v>44.31</v>
      </c>
      <c r="C24" s="68">
        <v>63.1875</v>
      </c>
      <c r="D24" s="68" t="s">
        <v>74</v>
      </c>
      <c r="E24" s="68">
        <v>53.3125</v>
      </c>
      <c r="F24" s="68">
        <v>90</v>
      </c>
      <c r="G24" s="68">
        <v>43.337499999999999</v>
      </c>
      <c r="H24" s="68" t="s">
        <v>74</v>
      </c>
      <c r="I24" s="68">
        <v>48.129999999999995</v>
      </c>
      <c r="K24" s="149"/>
      <c r="L24" s="149"/>
      <c r="M24" s="153"/>
      <c r="N24" s="150"/>
    </row>
    <row r="25" spans="1:14" ht="13.8">
      <c r="A25" s="23" t="s">
        <v>42</v>
      </c>
      <c r="B25" s="68">
        <v>48.37</v>
      </c>
      <c r="C25" s="68">
        <v>73.625</v>
      </c>
      <c r="D25" s="68" t="s">
        <v>74</v>
      </c>
      <c r="E25" s="68">
        <v>58.9375</v>
      </c>
      <c r="F25" s="68">
        <v>93</v>
      </c>
      <c r="G25" s="68">
        <v>44.945</v>
      </c>
      <c r="H25" s="68" t="s">
        <v>74</v>
      </c>
      <c r="I25" s="68">
        <v>53.125</v>
      </c>
      <c r="K25" s="149"/>
      <c r="L25" s="149"/>
      <c r="M25" s="153"/>
      <c r="N25" s="150"/>
    </row>
    <row r="26" spans="1:14" ht="13.8">
      <c r="A26" s="23" t="s">
        <v>44</v>
      </c>
      <c r="B26" s="68">
        <v>56</v>
      </c>
      <c r="C26" s="68">
        <v>86.9375</v>
      </c>
      <c r="D26" s="68" t="s">
        <v>74</v>
      </c>
      <c r="E26" s="68">
        <v>71.3125</v>
      </c>
      <c r="F26" s="68">
        <v>105.25</v>
      </c>
      <c r="G26" s="68">
        <v>52.05</v>
      </c>
      <c r="H26" s="68">
        <v>55</v>
      </c>
      <c r="I26" s="68">
        <v>55.943333333333328</v>
      </c>
      <c r="K26" s="149"/>
      <c r="L26" s="149"/>
      <c r="M26" s="153"/>
      <c r="N26" s="150"/>
    </row>
    <row r="27" spans="1:14" ht="13.8">
      <c r="A27" s="23" t="s">
        <v>45</v>
      </c>
      <c r="B27" s="68">
        <v>62.88</v>
      </c>
      <c r="C27" s="68">
        <v>92.65</v>
      </c>
      <c r="D27" s="68">
        <v>83</v>
      </c>
      <c r="E27" s="68">
        <v>79.55</v>
      </c>
      <c r="F27" s="68">
        <v>109.2</v>
      </c>
      <c r="G27" s="68">
        <v>59.8125</v>
      </c>
      <c r="H27" s="68" t="s">
        <v>74</v>
      </c>
      <c r="I27" s="68">
        <v>59.3825</v>
      </c>
      <c r="K27" s="149"/>
      <c r="L27" s="149"/>
      <c r="M27" s="150"/>
      <c r="N27" s="150"/>
    </row>
    <row r="28" spans="1:14" ht="13.8">
      <c r="A28" s="23" t="s">
        <v>46</v>
      </c>
      <c r="B28" s="68">
        <v>74.75</v>
      </c>
      <c r="C28" s="68">
        <v>102.1875</v>
      </c>
      <c r="D28" s="68">
        <v>83</v>
      </c>
      <c r="E28" s="68">
        <v>94.0625</v>
      </c>
      <c r="F28" s="68">
        <v>110</v>
      </c>
      <c r="G28" s="68">
        <v>68.25</v>
      </c>
      <c r="H28" s="68">
        <v>58</v>
      </c>
      <c r="I28" s="68">
        <v>64.724999999999994</v>
      </c>
      <c r="J28" s="85"/>
      <c r="K28" s="149"/>
      <c r="L28" s="149"/>
      <c r="M28" s="150"/>
      <c r="N28" s="150"/>
    </row>
    <row r="29" spans="1:14" ht="13.8">
      <c r="A29" s="23" t="s">
        <v>48</v>
      </c>
      <c r="B29" s="68">
        <v>74.75</v>
      </c>
      <c r="C29" s="68">
        <v>100.6875</v>
      </c>
      <c r="D29" s="68" t="s">
        <v>74</v>
      </c>
      <c r="E29" s="68">
        <v>93.5</v>
      </c>
      <c r="F29" s="68">
        <v>108.1875</v>
      </c>
      <c r="G29" s="68">
        <v>67.599999999999994</v>
      </c>
      <c r="H29" s="68">
        <v>68</v>
      </c>
      <c r="I29" s="68">
        <v>63.666666666666664</v>
      </c>
      <c r="K29" s="149"/>
      <c r="L29" s="149"/>
      <c r="M29" s="150"/>
      <c r="N29" s="150"/>
    </row>
    <row r="30" spans="1:14" ht="13.8">
      <c r="A30" s="23" t="s">
        <v>49</v>
      </c>
      <c r="B30" s="68">
        <v>72.930000000000007</v>
      </c>
      <c r="C30" s="68">
        <v>99.9</v>
      </c>
      <c r="D30" s="68" t="s">
        <v>74</v>
      </c>
      <c r="E30" s="68">
        <v>92.3</v>
      </c>
      <c r="F30" s="68">
        <v>106</v>
      </c>
      <c r="G30" s="68">
        <v>66.094999999999999</v>
      </c>
      <c r="H30" s="68" t="s">
        <v>74</v>
      </c>
      <c r="I30" s="68">
        <v>66.333333333333329</v>
      </c>
      <c r="K30" s="149"/>
      <c r="L30" s="149"/>
      <c r="M30" s="153"/>
      <c r="N30" s="150"/>
    </row>
    <row r="31" spans="1:14" ht="13.8">
      <c r="A31" s="23" t="s">
        <v>50</v>
      </c>
      <c r="B31" s="68">
        <v>70.010000000000005</v>
      </c>
      <c r="C31" s="68">
        <v>96.5</v>
      </c>
      <c r="D31" s="68" t="s">
        <v>74</v>
      </c>
      <c r="E31" s="68">
        <v>81</v>
      </c>
      <c r="F31" s="68">
        <v>108.75</v>
      </c>
      <c r="G31" s="68">
        <v>64.156000000000006</v>
      </c>
      <c r="H31" s="68">
        <v>72.333333333333329</v>
      </c>
      <c r="I31" s="68">
        <v>72</v>
      </c>
      <c r="K31" s="149"/>
      <c r="L31" s="149"/>
      <c r="M31" s="153"/>
      <c r="N31" s="150"/>
    </row>
    <row r="32" spans="1:14" ht="13.8">
      <c r="A32" s="23" t="s">
        <v>36</v>
      </c>
      <c r="B32" s="68">
        <v>65.930000000000007</v>
      </c>
      <c r="C32" s="68">
        <v>93.625</v>
      </c>
      <c r="D32" s="68" t="s">
        <v>74</v>
      </c>
      <c r="E32" s="68">
        <v>76</v>
      </c>
      <c r="F32" s="68">
        <v>105</v>
      </c>
      <c r="G32" s="68">
        <v>53.184999999999995</v>
      </c>
      <c r="H32" s="68" t="s">
        <v>74</v>
      </c>
      <c r="I32" s="68">
        <v>71.75</v>
      </c>
      <c r="K32" s="149"/>
      <c r="L32" s="149"/>
      <c r="M32" s="153"/>
      <c r="N32" s="150"/>
    </row>
    <row r="33" spans="1:14" ht="13.8">
      <c r="A33" s="23"/>
      <c r="B33" s="68"/>
      <c r="C33" s="68"/>
      <c r="D33" s="68"/>
      <c r="E33" s="68"/>
      <c r="F33" s="68"/>
      <c r="G33" s="68"/>
      <c r="H33" s="68"/>
      <c r="I33" s="68"/>
    </row>
    <row r="34" spans="1:14" ht="13.8">
      <c r="A34" s="55" t="s">
        <v>52</v>
      </c>
      <c r="B34" s="68"/>
      <c r="C34" s="68"/>
      <c r="D34" s="68"/>
      <c r="E34" s="68"/>
      <c r="F34" s="68"/>
      <c r="G34" s="68"/>
      <c r="H34" s="68"/>
      <c r="I34" s="68"/>
    </row>
    <row r="35" spans="1:14" ht="13.8">
      <c r="A35" s="23" t="s">
        <v>37</v>
      </c>
      <c r="B35" s="68">
        <v>70.42</v>
      </c>
      <c r="C35" s="68">
        <v>98.5</v>
      </c>
      <c r="D35" s="68">
        <v>129</v>
      </c>
      <c r="E35" s="68">
        <v>82.3</v>
      </c>
      <c r="F35" s="68">
        <v>101.5</v>
      </c>
      <c r="G35" s="68">
        <v>57.069999999999993</v>
      </c>
      <c r="H35" s="68" t="s">
        <v>74</v>
      </c>
      <c r="I35" s="68" t="s">
        <v>74</v>
      </c>
      <c r="K35" s="149"/>
      <c r="L35" s="151"/>
      <c r="M35" s="153"/>
      <c r="N35" s="150"/>
    </row>
    <row r="36" spans="1:14" ht="13.8">
      <c r="A36" s="23" t="s">
        <v>38</v>
      </c>
      <c r="B36" s="68">
        <v>66.459999999999994</v>
      </c>
      <c r="C36" s="68">
        <v>96.75</v>
      </c>
      <c r="D36" s="68">
        <v>125</v>
      </c>
      <c r="E36" s="68">
        <v>84.375</v>
      </c>
      <c r="F36" s="68">
        <v>100</v>
      </c>
      <c r="G36" s="68">
        <v>57.918000000000006</v>
      </c>
      <c r="H36" s="68" t="s">
        <v>74</v>
      </c>
      <c r="I36" s="68">
        <v>80.06</v>
      </c>
      <c r="K36" s="149"/>
      <c r="L36" s="149"/>
      <c r="M36" s="150"/>
      <c r="N36" s="150"/>
    </row>
    <row r="37" spans="1:14" ht="13.8">
      <c r="A37" s="23" t="s">
        <v>40</v>
      </c>
      <c r="B37" s="68">
        <v>63.69</v>
      </c>
      <c r="C37" s="68">
        <v>93.3</v>
      </c>
      <c r="D37" s="68">
        <v>125</v>
      </c>
      <c r="E37" s="68">
        <v>82.95</v>
      </c>
      <c r="F37" s="68">
        <v>100</v>
      </c>
      <c r="G37" s="68">
        <v>56.093333333333334</v>
      </c>
      <c r="H37" s="68" t="s">
        <v>74</v>
      </c>
      <c r="I37" s="68">
        <v>73</v>
      </c>
      <c r="K37" s="149"/>
      <c r="L37" s="149"/>
      <c r="M37" s="150"/>
      <c r="N37" s="150"/>
    </row>
    <row r="38" spans="1:14" ht="13.8">
      <c r="A38" s="23" t="s">
        <v>41</v>
      </c>
      <c r="B38" s="68">
        <v>65.7</v>
      </c>
      <c r="C38" s="68">
        <v>97.9375</v>
      </c>
      <c r="D38" s="68">
        <v>123.125</v>
      </c>
      <c r="E38" s="68">
        <v>88.5625</v>
      </c>
      <c r="F38" s="68">
        <v>103.125</v>
      </c>
      <c r="G38" s="68">
        <v>54.09</v>
      </c>
      <c r="H38" s="68" t="s">
        <v>74</v>
      </c>
      <c r="I38" s="68">
        <v>76.5</v>
      </c>
    </row>
    <row r="39" spans="1:14" ht="13.8">
      <c r="A39" s="23" t="s">
        <v>42</v>
      </c>
      <c r="B39" s="68">
        <v>70.91</v>
      </c>
      <c r="C39" s="68">
        <v>101.375</v>
      </c>
      <c r="D39" s="68">
        <v>115.33</v>
      </c>
      <c r="E39" s="68">
        <v>85.875</v>
      </c>
      <c r="F39" s="68">
        <v>105</v>
      </c>
      <c r="G39" s="68">
        <v>59.29</v>
      </c>
      <c r="H39" s="68">
        <v>82</v>
      </c>
      <c r="I39" s="68">
        <v>80</v>
      </c>
    </row>
    <row r="40" spans="1:14" ht="13.8">
      <c r="A40" s="23" t="s">
        <v>44</v>
      </c>
      <c r="B40" s="68">
        <v>76.405000000000001</v>
      </c>
      <c r="C40" s="68">
        <v>114.875</v>
      </c>
      <c r="D40" s="68">
        <v>129</v>
      </c>
      <c r="E40" s="68">
        <v>92</v>
      </c>
      <c r="F40" s="68">
        <v>107.5</v>
      </c>
      <c r="G40" s="68">
        <v>67.1875</v>
      </c>
      <c r="H40" s="68" t="s">
        <v>74</v>
      </c>
      <c r="I40" s="68">
        <v>81.5</v>
      </c>
    </row>
    <row r="41" spans="1:14" ht="13.8">
      <c r="A41" s="17" t="s">
        <v>45</v>
      </c>
      <c r="B41" s="16">
        <v>83.846000000000004</v>
      </c>
      <c r="C41" s="16">
        <v>120.05</v>
      </c>
      <c r="D41" s="16">
        <v>120.4</v>
      </c>
      <c r="E41" s="16">
        <v>103.15</v>
      </c>
      <c r="F41" s="16">
        <v>115</v>
      </c>
      <c r="G41" s="16">
        <v>71.55</v>
      </c>
      <c r="H41" s="16" t="s">
        <v>74</v>
      </c>
      <c r="I41" s="16">
        <v>83.125</v>
      </c>
    </row>
    <row r="42" spans="1:14" ht="16.2">
      <c r="A42" s="58" t="s">
        <v>134</v>
      </c>
      <c r="B42" s="83"/>
      <c r="C42" s="83"/>
      <c r="D42" s="83"/>
      <c r="E42" s="83"/>
      <c r="F42" s="83"/>
      <c r="G42" s="83"/>
      <c r="H42" s="83"/>
      <c r="I42" s="83"/>
    </row>
    <row r="43" spans="1:14" ht="16.2">
      <c r="A43" s="19" t="s">
        <v>135</v>
      </c>
      <c r="B43" s="83"/>
      <c r="C43" s="83"/>
      <c r="D43" s="83"/>
      <c r="E43" s="83"/>
      <c r="F43" s="83"/>
      <c r="G43" s="83"/>
      <c r="H43" s="83"/>
      <c r="I43" s="83"/>
    </row>
    <row r="44" spans="1:14" ht="14.4">
      <c r="A44" s="19" t="s">
        <v>136</v>
      </c>
      <c r="B44" s="19"/>
      <c r="C44" s="19"/>
      <c r="D44" s="19"/>
      <c r="E44" s="19"/>
      <c r="F44" s="83"/>
      <c r="G44" s="19"/>
      <c r="H44" s="19"/>
      <c r="I44" s="19"/>
    </row>
    <row r="45" spans="1:14" ht="13.8">
      <c r="A45" s="25" t="s">
        <v>55</v>
      </c>
      <c r="B45" s="50">
        <f ca="1">NOW()</f>
        <v>44694.651039467593</v>
      </c>
      <c r="C45" s="19"/>
      <c r="D45" s="19"/>
      <c r="E45" s="19"/>
      <c r="F45" s="19"/>
      <c r="G45" s="19"/>
      <c r="H45" s="19"/>
      <c r="I45" s="19"/>
    </row>
    <row r="46" spans="1:14" ht="15.6">
      <c r="C46" s="84"/>
      <c r="G46" s="84"/>
      <c r="H46" s="84"/>
      <c r="I46" s="84"/>
    </row>
    <row r="47" spans="1:14" ht="15.6">
      <c r="B47" s="157"/>
      <c r="C47" s="84"/>
      <c r="G47" s="84"/>
      <c r="H47" s="84"/>
      <c r="I47" s="84"/>
    </row>
    <row r="48" spans="1:14" ht="15.6">
      <c r="B48" s="85"/>
      <c r="C48" s="121"/>
      <c r="G48" s="84"/>
      <c r="H48" s="84"/>
      <c r="I48" s="84"/>
    </row>
    <row r="49" spans="3:9" ht="15.6">
      <c r="C49" s="84"/>
      <c r="G49" s="84"/>
      <c r="H49" s="84"/>
      <c r="I49" s="84"/>
    </row>
    <row r="50" spans="3:9" ht="15.6">
      <c r="C50" s="84"/>
      <c r="G50" s="84"/>
      <c r="H50" s="84"/>
      <c r="I50" s="84"/>
    </row>
    <row r="51" spans="3:9" ht="15.6">
      <c r="C51" s="84"/>
      <c r="G51" s="84"/>
      <c r="H51" s="84"/>
      <c r="I51" s="84"/>
    </row>
    <row r="52" spans="3:9" ht="15.6">
      <c r="C52" s="84"/>
      <c r="G52" s="84"/>
      <c r="H52" s="84"/>
      <c r="I52" s="84"/>
    </row>
    <row r="53" spans="3:9" ht="15.6">
      <c r="C53" s="84"/>
      <c r="G53" s="84"/>
      <c r="H53" s="84"/>
      <c r="I53" s="84"/>
    </row>
    <row r="54" spans="3:9" ht="15.6">
      <c r="C54" s="84"/>
      <c r="G54" s="84"/>
      <c r="H54" s="84"/>
      <c r="I54" s="84"/>
    </row>
    <row r="55" spans="3:9" ht="15.6">
      <c r="C55" s="84"/>
      <c r="G55" s="84"/>
      <c r="H55" s="84"/>
      <c r="I55" s="84"/>
    </row>
    <row r="56" spans="3:9" ht="15.6">
      <c r="C56" s="84"/>
      <c r="G56" s="84"/>
      <c r="H56" s="84"/>
      <c r="I56" s="84"/>
    </row>
    <row r="57" spans="3:9" ht="15.6">
      <c r="C57" s="84"/>
      <c r="G57" s="84"/>
      <c r="H57" s="84"/>
      <c r="I57" s="84"/>
    </row>
    <row r="58" spans="3:9" ht="15.6">
      <c r="C58" s="84"/>
      <c r="G58" s="84"/>
      <c r="H58" s="84"/>
      <c r="I58" s="84"/>
    </row>
    <row r="59" spans="3:9" ht="15.6">
      <c r="C59" s="84"/>
      <c r="G59" s="84"/>
      <c r="H59" s="84"/>
      <c r="I59" s="84"/>
    </row>
    <row r="60" spans="3:9" ht="15.6">
      <c r="C60" s="84"/>
      <c r="G60" s="84"/>
      <c r="H60" s="84"/>
      <c r="I60" s="84"/>
    </row>
    <row r="61" spans="3:9" ht="15.6">
      <c r="C61" s="84"/>
      <c r="G61" s="84"/>
      <c r="H61" s="84"/>
      <c r="I61" s="84"/>
    </row>
    <row r="62" spans="3:9" ht="15.6">
      <c r="C62" s="84"/>
      <c r="H62" s="84"/>
      <c r="I62" s="84"/>
    </row>
    <row r="63" spans="3:9" ht="15.6">
      <c r="C63" s="84"/>
      <c r="H63" s="84"/>
      <c r="I63" s="84"/>
    </row>
    <row r="64" spans="3:9" ht="15.6">
      <c r="C64" s="84"/>
      <c r="F64" s="85"/>
      <c r="H64" s="84"/>
      <c r="I64" s="84"/>
    </row>
    <row r="65" spans="6:9" ht="15.6">
      <c r="F65" s="85"/>
      <c r="H65" s="84"/>
      <c r="I65" s="84"/>
    </row>
  </sheetData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E57"/>
  <sheetViews>
    <sheetView showGridLines="0" zoomScale="70" zoomScaleNormal="70" workbookViewId="0"/>
  </sheetViews>
  <sheetFormatPr defaultColWidth="9.109375" defaultRowHeight="13.2"/>
  <cols>
    <col min="1" max="1" width="11.6640625" style="18" customWidth="1"/>
    <col min="2" max="7" width="13.6640625" style="18" customWidth="1"/>
    <col min="8" max="8" width="10.109375" style="18" bestFit="1" customWidth="1"/>
    <col min="9" max="9" width="9.109375" style="18"/>
    <col min="10" max="10" width="20.33203125" style="18" bestFit="1" customWidth="1"/>
    <col min="11" max="13" width="9.109375" style="18"/>
    <col min="14" max="14" width="8.88671875" style="18" customWidth="1"/>
    <col min="15" max="15" width="18" style="18" bestFit="1" customWidth="1"/>
    <col min="16" max="16384" width="9.109375" style="18"/>
  </cols>
  <sheetData>
    <row r="1" spans="1:31" ht="13.8">
      <c r="A1" s="17" t="s">
        <v>10</v>
      </c>
      <c r="B1" s="17"/>
      <c r="C1" s="17"/>
      <c r="D1" s="17"/>
      <c r="E1" s="17"/>
      <c r="F1" s="17"/>
      <c r="G1" s="17"/>
    </row>
    <row r="2" spans="1:31" ht="15.6" customHeight="1">
      <c r="A2" s="23" t="s">
        <v>95</v>
      </c>
      <c r="B2" s="40" t="s">
        <v>119</v>
      </c>
      <c r="C2" s="86" t="s">
        <v>120</v>
      </c>
      <c r="D2" s="86" t="s">
        <v>153</v>
      </c>
      <c r="E2" s="86" t="s">
        <v>122</v>
      </c>
      <c r="F2" s="40" t="s">
        <v>137</v>
      </c>
      <c r="G2" s="21" t="s">
        <v>138</v>
      </c>
      <c r="AE2" s="87"/>
    </row>
    <row r="3" spans="1:31" ht="15.6" customHeight="1">
      <c r="A3" s="17" t="s">
        <v>102</v>
      </c>
      <c r="B3" s="28" t="s">
        <v>139</v>
      </c>
      <c r="C3" s="28" t="s">
        <v>140</v>
      </c>
      <c r="D3" s="28" t="s">
        <v>141</v>
      </c>
      <c r="E3" s="28" t="s">
        <v>142</v>
      </c>
      <c r="F3" s="28" t="s">
        <v>143</v>
      </c>
      <c r="G3" s="28" t="s">
        <v>144</v>
      </c>
      <c r="AE3" s="87"/>
    </row>
    <row r="4" spans="1:31" ht="14.4">
      <c r="A4" s="19"/>
      <c r="B4" s="79" t="s">
        <v>145</v>
      </c>
      <c r="C4" s="80"/>
      <c r="D4" s="80"/>
      <c r="E4" s="80"/>
      <c r="F4" s="80"/>
      <c r="G4" s="80"/>
      <c r="AE4" s="87"/>
    </row>
    <row r="5" spans="1:31" ht="13.8">
      <c r="A5" s="19"/>
      <c r="B5" s="19"/>
      <c r="C5" s="19"/>
      <c r="D5" s="19"/>
      <c r="E5" s="19"/>
      <c r="F5" s="19"/>
      <c r="G5" s="19"/>
      <c r="AE5" s="87"/>
    </row>
    <row r="6" spans="1:31" ht="13.8">
      <c r="A6" s="19" t="s">
        <v>107</v>
      </c>
      <c r="B6" s="68">
        <v>345.52</v>
      </c>
      <c r="C6" s="68">
        <v>273.83999999999997</v>
      </c>
      <c r="D6" s="68">
        <v>219.72</v>
      </c>
      <c r="E6" s="88" t="s">
        <v>74</v>
      </c>
      <c r="F6" s="68">
        <v>263.63</v>
      </c>
      <c r="G6" s="68">
        <v>240.65</v>
      </c>
      <c r="AE6" s="87"/>
    </row>
    <row r="7" spans="1:31" ht="13.8">
      <c r="A7" s="19" t="s">
        <v>108</v>
      </c>
      <c r="B7" s="68">
        <v>393.53</v>
      </c>
      <c r="C7" s="68">
        <v>275.13</v>
      </c>
      <c r="D7" s="68">
        <v>246.75</v>
      </c>
      <c r="E7" s="88" t="s">
        <v>74</v>
      </c>
      <c r="F7" s="68">
        <v>307.58999999999997</v>
      </c>
      <c r="G7" s="68">
        <v>265.68</v>
      </c>
      <c r="AE7" s="87"/>
    </row>
    <row r="8" spans="1:31" ht="13.8">
      <c r="A8" s="19" t="s">
        <v>109</v>
      </c>
      <c r="B8" s="68">
        <v>468.11</v>
      </c>
      <c r="C8" s="68">
        <v>331.52</v>
      </c>
      <c r="D8" s="68">
        <v>241.57</v>
      </c>
      <c r="E8" s="88" t="s">
        <v>74</v>
      </c>
      <c r="F8" s="68">
        <v>354.22</v>
      </c>
      <c r="G8" s="68">
        <v>329.31</v>
      </c>
      <c r="AE8" s="87"/>
    </row>
    <row r="9" spans="1:31" ht="13.8">
      <c r="A9" s="19" t="s">
        <v>110</v>
      </c>
      <c r="B9" s="68">
        <v>489.94</v>
      </c>
      <c r="C9" s="68">
        <v>377.71</v>
      </c>
      <c r="D9" s="68">
        <v>238.87</v>
      </c>
      <c r="E9" s="88" t="s">
        <v>74</v>
      </c>
      <c r="F9" s="68">
        <v>359.7</v>
      </c>
      <c r="G9" s="68">
        <v>337.23</v>
      </c>
      <c r="AE9" s="87"/>
    </row>
    <row r="10" spans="1:31" ht="13.8">
      <c r="A10" s="19" t="s">
        <v>111</v>
      </c>
      <c r="B10" s="68">
        <v>368.49</v>
      </c>
      <c r="C10" s="68">
        <v>304.27</v>
      </c>
      <c r="D10" s="68">
        <v>209.97</v>
      </c>
      <c r="E10" s="88" t="s">
        <v>74</v>
      </c>
      <c r="F10" s="68">
        <v>301.2</v>
      </c>
      <c r="G10" s="68">
        <v>256.58</v>
      </c>
      <c r="AE10" s="87"/>
    </row>
    <row r="11" spans="1:31" ht="13.8">
      <c r="A11" s="19" t="s">
        <v>112</v>
      </c>
      <c r="B11" s="68">
        <v>324.56</v>
      </c>
      <c r="C11" s="68">
        <v>261.19</v>
      </c>
      <c r="D11" s="68">
        <v>153.16999999999999</v>
      </c>
      <c r="E11" s="88" t="s">
        <v>74</v>
      </c>
      <c r="F11" s="68">
        <v>262.2</v>
      </c>
      <c r="G11" s="68">
        <v>260.23</v>
      </c>
      <c r="AE11" s="87"/>
    </row>
    <row r="12" spans="1:31" ht="13.8">
      <c r="A12" s="19" t="s">
        <v>113</v>
      </c>
      <c r="B12" s="68">
        <v>316.88</v>
      </c>
      <c r="C12" s="68">
        <v>208.61</v>
      </c>
      <c r="D12" s="68">
        <v>145.1</v>
      </c>
      <c r="E12" s="88" t="s">
        <v>74</v>
      </c>
      <c r="F12" s="68">
        <v>267.94</v>
      </c>
      <c r="G12" s="68">
        <v>282.49</v>
      </c>
      <c r="AE12" s="87"/>
    </row>
    <row r="13" spans="1:31" ht="13.8">
      <c r="A13" s="19" t="s">
        <v>114</v>
      </c>
      <c r="B13" s="68">
        <v>345.02</v>
      </c>
      <c r="C13" s="68">
        <v>260.88</v>
      </c>
      <c r="D13" s="68">
        <v>173.53</v>
      </c>
      <c r="E13" s="88" t="s">
        <v>74</v>
      </c>
      <c r="F13" s="68">
        <v>291.14999999999998</v>
      </c>
      <c r="G13" s="68">
        <v>239.15</v>
      </c>
    </row>
    <row r="14" spans="1:31" ht="13.8">
      <c r="A14" s="19" t="s">
        <v>115</v>
      </c>
      <c r="B14" s="68">
        <v>308.27999999999997</v>
      </c>
      <c r="C14" s="68">
        <v>228.64</v>
      </c>
      <c r="D14" s="82">
        <v>164.16</v>
      </c>
      <c r="E14" s="88" t="s">
        <v>74</v>
      </c>
      <c r="F14" s="68">
        <v>272.38</v>
      </c>
      <c r="G14" s="68">
        <v>225.77</v>
      </c>
    </row>
    <row r="15" spans="1:31" ht="13.8">
      <c r="A15" s="19" t="s">
        <v>34</v>
      </c>
      <c r="B15" s="68">
        <v>299.5</v>
      </c>
      <c r="C15" s="68">
        <v>247.04</v>
      </c>
      <c r="D15" s="82">
        <v>187.7</v>
      </c>
      <c r="E15" s="88" t="s">
        <v>74</v>
      </c>
      <c r="F15" s="68">
        <v>273.99</v>
      </c>
      <c r="G15" s="68">
        <v>245.88</v>
      </c>
    </row>
    <row r="16" spans="1:31" ht="13.8">
      <c r="A16" s="19" t="s">
        <v>35</v>
      </c>
      <c r="B16" s="68">
        <v>392.31</v>
      </c>
      <c r="C16" s="68">
        <v>375.51</v>
      </c>
      <c r="D16" s="82">
        <v>246.22</v>
      </c>
      <c r="E16" s="88" t="s">
        <v>74</v>
      </c>
      <c r="F16" s="68">
        <v>351.87</v>
      </c>
      <c r="G16" s="68">
        <v>288.12</v>
      </c>
    </row>
    <row r="17" spans="1:16" ht="16.2">
      <c r="A17" s="19" t="s">
        <v>133</v>
      </c>
      <c r="B17" s="68">
        <v>420</v>
      </c>
      <c r="C17" s="68">
        <v>320</v>
      </c>
      <c r="D17" s="82">
        <v>285</v>
      </c>
      <c r="E17" s="88" t="s">
        <v>74</v>
      </c>
      <c r="F17" s="68">
        <v>400</v>
      </c>
      <c r="G17" s="68">
        <v>320</v>
      </c>
    </row>
    <row r="18" spans="1:16" ht="16.2">
      <c r="A18" s="19" t="s">
        <v>174</v>
      </c>
      <c r="B18" s="68">
        <v>400</v>
      </c>
      <c r="C18" s="68">
        <v>311</v>
      </c>
      <c r="D18" s="82">
        <v>265</v>
      </c>
      <c r="E18" s="88" t="s">
        <v>74</v>
      </c>
      <c r="F18" s="68">
        <v>360</v>
      </c>
      <c r="G18" s="68">
        <v>300</v>
      </c>
    </row>
    <row r="19" spans="1:16" ht="13.8">
      <c r="A19" s="23"/>
      <c r="B19" s="68"/>
      <c r="C19" s="68"/>
      <c r="D19" s="68"/>
      <c r="E19" s="88"/>
      <c r="F19" s="68"/>
      <c r="G19" s="68"/>
      <c r="I19" s="89"/>
      <c r="J19" s="91"/>
      <c r="K19" s="91"/>
      <c r="L19" s="89"/>
      <c r="M19" s="91"/>
      <c r="N19" s="91"/>
      <c r="O19" s="91"/>
      <c r="P19" s="91"/>
    </row>
    <row r="20" spans="1:16" ht="13.8">
      <c r="A20" s="41" t="s">
        <v>35</v>
      </c>
      <c r="B20" s="147"/>
      <c r="C20" s="147"/>
      <c r="D20" s="147"/>
      <c r="E20" s="147"/>
      <c r="F20" s="147"/>
      <c r="G20" s="147"/>
      <c r="I20" s="90"/>
      <c r="J20" s="91"/>
      <c r="K20" s="91"/>
      <c r="L20" s="89"/>
      <c r="M20" s="89"/>
      <c r="P20" s="91"/>
    </row>
    <row r="21" spans="1:16" ht="13.8">
      <c r="A21" s="19" t="s">
        <v>37</v>
      </c>
      <c r="B21" s="68">
        <v>367.11</v>
      </c>
      <c r="C21" s="68">
        <v>301.88</v>
      </c>
      <c r="D21" s="68">
        <v>211.25</v>
      </c>
      <c r="E21" s="88" t="s">
        <v>74</v>
      </c>
      <c r="F21" s="68">
        <v>327.24</v>
      </c>
      <c r="G21" s="68">
        <v>239.375</v>
      </c>
      <c r="H21" s="92"/>
      <c r="I21" s="89"/>
      <c r="J21" s="91"/>
      <c r="K21" s="91"/>
      <c r="L21" s="89"/>
      <c r="M21" s="89"/>
      <c r="P21" s="91"/>
    </row>
    <row r="22" spans="1:16" ht="13.8">
      <c r="A22" s="19" t="s">
        <v>38</v>
      </c>
      <c r="B22" s="68">
        <v>387.83</v>
      </c>
      <c r="C22" s="68">
        <v>365.63</v>
      </c>
      <c r="D22" s="68">
        <v>216.25</v>
      </c>
      <c r="E22" s="88" t="s">
        <v>74</v>
      </c>
      <c r="F22" s="68">
        <v>333.89</v>
      </c>
      <c r="G22" s="68">
        <v>253.75</v>
      </c>
      <c r="H22" s="92"/>
      <c r="I22" s="89"/>
      <c r="J22" s="19"/>
      <c r="K22" s="91"/>
      <c r="L22" s="89"/>
      <c r="M22" s="89"/>
    </row>
    <row r="23" spans="1:16" ht="13.8">
      <c r="A23" s="19" t="s">
        <v>40</v>
      </c>
      <c r="B23" s="68">
        <v>396.68</v>
      </c>
      <c r="C23" s="68">
        <v>435.83</v>
      </c>
      <c r="D23" s="68">
        <v>252.5</v>
      </c>
      <c r="E23" s="88" t="s">
        <v>74</v>
      </c>
      <c r="F23" s="68">
        <v>338.55</v>
      </c>
      <c r="G23" s="68">
        <v>275</v>
      </c>
      <c r="H23" s="92"/>
      <c r="I23" s="89"/>
      <c r="J23" s="19"/>
      <c r="K23" s="91"/>
      <c r="L23" s="89"/>
    </row>
    <row r="24" spans="1:16" ht="13.8">
      <c r="A24" s="23" t="s">
        <v>41</v>
      </c>
      <c r="B24" s="68">
        <v>439.24</v>
      </c>
      <c r="C24" s="68">
        <v>443.75</v>
      </c>
      <c r="D24" s="68">
        <v>280.63</v>
      </c>
      <c r="E24" s="88" t="s">
        <v>74</v>
      </c>
      <c r="F24" s="68">
        <v>387.53</v>
      </c>
      <c r="G24" s="68">
        <v>313.125</v>
      </c>
      <c r="I24" s="89"/>
      <c r="J24" s="91"/>
      <c r="K24" s="91"/>
      <c r="L24" s="91"/>
      <c r="M24" s="91"/>
      <c r="N24" s="91"/>
    </row>
    <row r="25" spans="1:16" ht="14.4">
      <c r="A25" s="23" t="s">
        <v>42</v>
      </c>
      <c r="B25" s="68">
        <v>427.28</v>
      </c>
      <c r="C25" s="68">
        <v>460</v>
      </c>
      <c r="D25" s="68">
        <v>291.88</v>
      </c>
      <c r="E25" s="88" t="s">
        <v>74</v>
      </c>
      <c r="F25" s="68">
        <v>376.07499999999999</v>
      </c>
      <c r="G25" s="68">
        <v>296.25</v>
      </c>
      <c r="I25" s="89"/>
      <c r="J25" s="93"/>
      <c r="K25" s="91"/>
      <c r="L25" s="89"/>
      <c r="M25" s="89"/>
      <c r="O25" s="91"/>
    </row>
    <row r="26" spans="1:16" ht="13.8">
      <c r="A26" s="23" t="s">
        <v>44</v>
      </c>
      <c r="B26" s="68">
        <v>410.02</v>
      </c>
      <c r="C26" s="68">
        <v>456</v>
      </c>
      <c r="D26" s="68">
        <v>279.5</v>
      </c>
      <c r="E26" s="88" t="s">
        <v>74</v>
      </c>
      <c r="F26" s="68">
        <v>365.14</v>
      </c>
      <c r="G26" s="68">
        <v>322</v>
      </c>
      <c r="I26" s="89"/>
      <c r="J26" s="23"/>
      <c r="K26" s="89"/>
      <c r="L26" s="89"/>
      <c r="M26" s="89"/>
      <c r="O26" s="91"/>
    </row>
    <row r="27" spans="1:16" ht="13.8">
      <c r="A27" s="23" t="s">
        <v>45</v>
      </c>
      <c r="B27" s="68">
        <v>413.36</v>
      </c>
      <c r="C27" s="68">
        <v>415</v>
      </c>
      <c r="D27" s="68">
        <v>258.125</v>
      </c>
      <c r="E27" s="88" t="s">
        <v>74</v>
      </c>
      <c r="F27" s="68">
        <v>377.57499999999999</v>
      </c>
      <c r="G27" s="68">
        <v>318.75</v>
      </c>
      <c r="I27" s="41"/>
      <c r="J27" s="23"/>
      <c r="K27" s="89"/>
      <c r="L27" s="89"/>
      <c r="M27" s="89"/>
      <c r="O27" s="91"/>
    </row>
    <row r="28" spans="1:16" ht="13.8">
      <c r="A28" s="23" t="s">
        <v>46</v>
      </c>
      <c r="B28" s="68">
        <v>421.03</v>
      </c>
      <c r="C28" s="68">
        <v>360.625</v>
      </c>
      <c r="D28" s="68">
        <v>265</v>
      </c>
      <c r="E28" s="88" t="s">
        <v>74</v>
      </c>
      <c r="F28" s="68">
        <v>391.45</v>
      </c>
      <c r="G28" s="68">
        <v>335.63</v>
      </c>
      <c r="I28" s="19"/>
      <c r="J28" s="23"/>
      <c r="K28" s="89"/>
      <c r="L28" s="89"/>
      <c r="M28" s="89"/>
      <c r="O28" s="91"/>
    </row>
    <row r="29" spans="1:16" ht="13.8">
      <c r="A29" s="23" t="s">
        <v>48</v>
      </c>
      <c r="B29" s="68">
        <v>378.18</v>
      </c>
      <c r="C29" s="68">
        <v>337.5</v>
      </c>
      <c r="D29" s="68">
        <v>252.5</v>
      </c>
      <c r="E29" s="88" t="s">
        <v>74</v>
      </c>
      <c r="F29" s="68">
        <v>345.9</v>
      </c>
      <c r="G29" s="68">
        <v>293.5</v>
      </c>
      <c r="I29" s="19"/>
      <c r="J29" s="23"/>
      <c r="K29" s="89"/>
      <c r="L29" s="89"/>
      <c r="M29" s="89"/>
      <c r="O29" s="91"/>
    </row>
    <row r="30" spans="1:16" ht="13.8">
      <c r="A30" s="23" t="s">
        <v>49</v>
      </c>
      <c r="B30" s="68">
        <v>365.23</v>
      </c>
      <c r="C30" s="68">
        <v>321.875</v>
      </c>
      <c r="D30" s="68">
        <v>206.25</v>
      </c>
      <c r="E30" s="88" t="s">
        <v>74</v>
      </c>
      <c r="F30" s="68">
        <v>326.67499999999995</v>
      </c>
      <c r="G30" s="68">
        <v>262.5</v>
      </c>
      <c r="I30" s="19"/>
      <c r="J30" s="23"/>
      <c r="K30" s="89"/>
      <c r="L30" s="89"/>
      <c r="M30" s="89"/>
      <c r="O30" s="91"/>
    </row>
    <row r="31" spans="1:16" ht="13.8">
      <c r="A31" s="23" t="s">
        <v>50</v>
      </c>
      <c r="B31" s="68">
        <v>358.21</v>
      </c>
      <c r="C31" s="68">
        <v>303</v>
      </c>
      <c r="D31" s="68">
        <v>219.5</v>
      </c>
      <c r="E31" s="88" t="s">
        <v>74</v>
      </c>
      <c r="F31" s="68">
        <v>329.45</v>
      </c>
      <c r="G31" s="68">
        <v>287.5</v>
      </c>
      <c r="I31" s="19"/>
      <c r="J31" s="23"/>
      <c r="K31" s="89"/>
      <c r="L31" s="89"/>
      <c r="M31" s="89"/>
      <c r="O31" s="91"/>
    </row>
    <row r="32" spans="1:16" ht="13.8">
      <c r="A32" s="23" t="s">
        <v>36</v>
      </c>
      <c r="B32" s="68">
        <v>343.55</v>
      </c>
      <c r="C32" s="68">
        <v>305</v>
      </c>
      <c r="D32" s="68">
        <v>221.25</v>
      </c>
      <c r="E32" s="88" t="s">
        <v>74</v>
      </c>
      <c r="F32" s="68">
        <v>322.96249999999998</v>
      </c>
      <c r="G32" s="68">
        <v>260</v>
      </c>
      <c r="I32" s="19"/>
      <c r="J32" s="23"/>
      <c r="K32" s="89"/>
      <c r="L32" s="89"/>
      <c r="M32" s="89"/>
      <c r="O32" s="91"/>
    </row>
    <row r="33" spans="1:13" ht="13.8">
      <c r="A33" s="23"/>
      <c r="B33" s="68"/>
      <c r="C33" s="68"/>
      <c r="D33" s="68"/>
      <c r="E33" s="68"/>
      <c r="F33" s="68"/>
      <c r="G33" s="68"/>
      <c r="H33" s="68"/>
      <c r="I33" s="68"/>
    </row>
    <row r="34" spans="1:13" ht="13.8">
      <c r="A34" s="55" t="s">
        <v>52</v>
      </c>
      <c r="B34" s="68"/>
      <c r="C34" s="68"/>
      <c r="D34" s="68"/>
      <c r="E34" s="68"/>
      <c r="F34" s="68"/>
      <c r="G34" s="68"/>
      <c r="H34" s="68"/>
      <c r="I34" s="68"/>
    </row>
    <row r="35" spans="1:13" ht="13.8">
      <c r="A35" s="23" t="s">
        <v>37</v>
      </c>
      <c r="B35" s="68">
        <v>325.43</v>
      </c>
      <c r="C35" s="68">
        <v>298.75</v>
      </c>
      <c r="D35" s="68">
        <v>222.5</v>
      </c>
      <c r="E35" s="88" t="s">
        <v>74</v>
      </c>
      <c r="F35" s="68">
        <v>322.82499999999999</v>
      </c>
      <c r="G35" s="68">
        <v>265.625</v>
      </c>
      <c r="H35" s="68"/>
      <c r="I35" s="68"/>
    </row>
    <row r="36" spans="1:13" ht="13.8">
      <c r="A36" s="23" t="s">
        <v>38</v>
      </c>
      <c r="B36" s="68">
        <v>358.73</v>
      </c>
      <c r="C36" s="68">
        <v>304.5</v>
      </c>
      <c r="D36" s="68">
        <v>256.5</v>
      </c>
      <c r="E36" s="88" t="s">
        <v>74</v>
      </c>
      <c r="F36" s="68">
        <v>350.21999999999997</v>
      </c>
      <c r="G36" s="68">
        <v>252</v>
      </c>
      <c r="H36" s="68"/>
      <c r="I36" s="68"/>
    </row>
    <row r="37" spans="1:13" ht="13.8">
      <c r="A37" s="23" t="s">
        <v>40</v>
      </c>
      <c r="B37" s="68">
        <v>399.53</v>
      </c>
      <c r="C37" s="68">
        <v>311.25</v>
      </c>
      <c r="D37" s="68">
        <v>289.16666666666669</v>
      </c>
      <c r="E37" s="88" t="s">
        <v>74</v>
      </c>
      <c r="F37" s="68">
        <v>382.9666666666667</v>
      </c>
      <c r="G37" s="68">
        <v>309.16666666666669</v>
      </c>
      <c r="H37" s="68"/>
      <c r="I37" s="68"/>
    </row>
    <row r="38" spans="1:13" ht="13.8">
      <c r="A38" s="23" t="s">
        <v>146</v>
      </c>
      <c r="B38" s="68">
        <v>421.21</v>
      </c>
      <c r="C38" s="68">
        <v>318.125</v>
      </c>
      <c r="D38" s="68">
        <v>301.25</v>
      </c>
      <c r="E38" s="88" t="s">
        <v>74</v>
      </c>
      <c r="F38" s="68">
        <v>410.875</v>
      </c>
      <c r="G38" s="68">
        <v>326.25</v>
      </c>
      <c r="H38" s="68"/>
      <c r="I38" s="68"/>
    </row>
    <row r="39" spans="1:13" ht="13.8">
      <c r="A39" s="23" t="s">
        <v>42</v>
      </c>
      <c r="B39" s="146">
        <v>460.45</v>
      </c>
      <c r="C39" s="68">
        <v>333.75</v>
      </c>
      <c r="D39" s="68">
        <v>320</v>
      </c>
      <c r="E39" s="88" t="s">
        <v>74</v>
      </c>
      <c r="F39" s="68">
        <v>454.625</v>
      </c>
      <c r="G39" s="68">
        <v>350</v>
      </c>
      <c r="H39" s="68"/>
      <c r="I39" s="68"/>
    </row>
    <row r="40" spans="1:13" ht="13.8">
      <c r="A40" s="23" t="s">
        <v>44</v>
      </c>
      <c r="B40" s="146">
        <v>493.97500000000002</v>
      </c>
      <c r="C40" s="68">
        <v>345.625</v>
      </c>
      <c r="D40" s="68">
        <v>333.33300000000003</v>
      </c>
      <c r="E40" s="88" t="s">
        <v>74</v>
      </c>
      <c r="F40" s="68">
        <v>487.03750000000002</v>
      </c>
      <c r="G40" s="68">
        <v>392.5</v>
      </c>
      <c r="H40" s="68"/>
      <c r="I40" s="68"/>
    </row>
    <row r="41" spans="1:13" ht="13.8">
      <c r="A41" s="17" t="s">
        <v>45</v>
      </c>
      <c r="B41" s="145">
        <v>475.35999999999996</v>
      </c>
      <c r="C41" s="16">
        <v>355</v>
      </c>
      <c r="D41" s="16">
        <v>321</v>
      </c>
      <c r="E41" s="125" t="s">
        <v>74</v>
      </c>
      <c r="F41" s="16">
        <v>470.77999999999992</v>
      </c>
      <c r="G41" s="16">
        <v>386</v>
      </c>
      <c r="H41" s="68"/>
      <c r="I41" s="68"/>
    </row>
    <row r="42" spans="1:13" ht="16.2">
      <c r="A42" s="58" t="s">
        <v>147</v>
      </c>
      <c r="B42" s="94"/>
      <c r="C42" s="94"/>
      <c r="D42" s="94"/>
      <c r="E42" s="94"/>
      <c r="F42" s="94"/>
      <c r="G42" s="94"/>
      <c r="I42" s="19"/>
      <c r="J42" s="89"/>
      <c r="K42" s="89"/>
      <c r="L42" s="89"/>
    </row>
    <row r="43" spans="1:13" ht="16.2">
      <c r="A43" s="58" t="s">
        <v>148</v>
      </c>
      <c r="B43" s="95"/>
      <c r="C43" s="95"/>
      <c r="D43" s="95"/>
      <c r="E43" s="95"/>
      <c r="F43" s="95"/>
      <c r="G43" s="95"/>
      <c r="I43" s="19"/>
      <c r="J43" s="68"/>
      <c r="K43" s="89"/>
      <c r="L43" s="89"/>
      <c r="M43" s="89"/>
    </row>
    <row r="44" spans="1:13" ht="13.8">
      <c r="A44" s="19"/>
      <c r="B44" s="95"/>
      <c r="C44" s="95"/>
      <c r="D44" s="95"/>
      <c r="E44" s="95"/>
      <c r="F44" s="95"/>
      <c r="G44" s="95"/>
      <c r="H44" s="59"/>
      <c r="I44" s="23"/>
      <c r="J44" s="68"/>
      <c r="K44" s="89"/>
      <c r="L44" s="89"/>
      <c r="M44" s="89"/>
    </row>
    <row r="45" spans="1:13" ht="14.4">
      <c r="A45" s="19" t="s">
        <v>149</v>
      </c>
      <c r="B45" s="19"/>
      <c r="C45" s="19"/>
      <c r="D45" s="19"/>
      <c r="E45" s="19"/>
      <c r="F45" s="95"/>
      <c r="G45" s="95"/>
      <c r="I45" s="23"/>
      <c r="J45" s="68"/>
      <c r="K45" s="89"/>
      <c r="L45" s="89"/>
      <c r="M45" s="89"/>
    </row>
    <row r="46" spans="1:13" ht="13.8">
      <c r="A46" s="25" t="s">
        <v>55</v>
      </c>
      <c r="B46" s="50">
        <f ca="1">NOW()</f>
        <v>44694.651039583332</v>
      </c>
      <c r="C46" s="19"/>
      <c r="D46" s="19"/>
      <c r="E46" s="19"/>
      <c r="F46" s="95"/>
      <c r="G46" s="95"/>
      <c r="I46" s="23"/>
      <c r="J46" s="68"/>
      <c r="K46" s="96"/>
      <c r="L46" s="96"/>
      <c r="M46" s="96"/>
    </row>
    <row r="47" spans="1:13" ht="13.8">
      <c r="F47" s="95"/>
      <c r="G47" s="95"/>
      <c r="I47" s="23"/>
      <c r="J47" s="68"/>
      <c r="K47" s="96"/>
      <c r="L47" s="96"/>
      <c r="M47" s="96"/>
    </row>
    <row r="48" spans="1:13" ht="13.8">
      <c r="F48" s="95"/>
      <c r="G48" s="95"/>
      <c r="I48" s="23"/>
      <c r="J48" s="68"/>
      <c r="K48" s="89"/>
      <c r="L48" s="89"/>
      <c r="M48" s="89"/>
    </row>
    <row r="49" spans="9:13">
      <c r="I49" s="97"/>
      <c r="J49" s="97"/>
      <c r="K49" s="89"/>
      <c r="L49" s="89"/>
      <c r="M49" s="89"/>
    </row>
    <row r="50" spans="9:13">
      <c r="I50" s="98"/>
      <c r="J50" s="98"/>
      <c r="K50" s="89"/>
      <c r="L50" s="89"/>
      <c r="M50" s="89"/>
    </row>
    <row r="51" spans="9:13">
      <c r="I51" s="98"/>
      <c r="J51" s="98"/>
      <c r="K51" s="89"/>
      <c r="L51" s="89"/>
      <c r="M51" s="89"/>
    </row>
    <row r="52" spans="9:13">
      <c r="I52" s="98"/>
      <c r="J52" s="98"/>
      <c r="K52" s="89"/>
      <c r="L52" s="89"/>
      <c r="M52" s="89"/>
    </row>
    <row r="53" spans="9:13">
      <c r="I53" s="98"/>
      <c r="J53" s="98"/>
      <c r="K53" s="89"/>
      <c r="L53" s="89"/>
      <c r="M53" s="89"/>
    </row>
    <row r="55" spans="9:13">
      <c r="I55" s="99"/>
      <c r="J55" s="99"/>
      <c r="K55" s="99"/>
      <c r="L55" s="99"/>
      <c r="M55" s="99"/>
    </row>
    <row r="56" spans="9:13">
      <c r="I56" s="99"/>
      <c r="J56" s="99"/>
      <c r="K56" s="99"/>
      <c r="L56" s="99"/>
      <c r="M56" s="99"/>
    </row>
    <row r="57" spans="9:13">
      <c r="J57" s="99"/>
    </row>
  </sheetData>
  <phoneticPr fontId="11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4095-F869-4BC8-8417-EF256C17CDEA}">
  <dimension ref="A1:B14"/>
  <sheetViews>
    <sheetView zoomScale="80" zoomScaleNormal="80" workbookViewId="0"/>
  </sheetViews>
  <sheetFormatPr defaultColWidth="8.88671875" defaultRowHeight="13.2"/>
  <cols>
    <col min="1" max="1" width="11.6640625" style="142" bestFit="1" customWidth="1"/>
    <col min="2" max="2" width="8.88671875" style="142" customWidth="1"/>
    <col min="3" max="16384" width="8.88671875" style="142"/>
  </cols>
  <sheetData>
    <row r="1" spans="1:2" ht="26.4">
      <c r="A1" s="141" t="s">
        <v>150</v>
      </c>
      <c r="B1" s="159" t="s">
        <v>154</v>
      </c>
    </row>
    <row r="2" spans="1:2">
      <c r="A2" s="143" t="s">
        <v>108</v>
      </c>
      <c r="B2" s="158">
        <v>1703</v>
      </c>
    </row>
    <row r="3" spans="1:2">
      <c r="A3" s="143" t="s">
        <v>109</v>
      </c>
      <c r="B3" s="158">
        <v>1689</v>
      </c>
    </row>
    <row r="4" spans="1:2">
      <c r="A4" s="143" t="s">
        <v>110</v>
      </c>
      <c r="B4" s="158">
        <v>1734</v>
      </c>
    </row>
    <row r="5" spans="1:2">
      <c r="A5" s="143" t="s">
        <v>111</v>
      </c>
      <c r="B5" s="158">
        <v>1873</v>
      </c>
    </row>
    <row r="6" spans="1:2">
      <c r="A6" s="143" t="s">
        <v>112</v>
      </c>
      <c r="B6" s="158">
        <v>1886.2368000000001</v>
      </c>
    </row>
    <row r="7" spans="1:2">
      <c r="A7" s="143" t="s">
        <v>113</v>
      </c>
      <c r="B7" s="158">
        <v>1901.1981000000001</v>
      </c>
    </row>
    <row r="8" spans="1:2">
      <c r="A8" s="143" t="s">
        <v>114</v>
      </c>
      <c r="B8" s="158">
        <v>2054.9319999999998</v>
      </c>
    </row>
    <row r="9" spans="1:2">
      <c r="A9" s="143" t="s">
        <v>115</v>
      </c>
      <c r="B9" s="158">
        <v>2091.9902999999999</v>
      </c>
    </row>
    <row r="10" spans="1:2">
      <c r="A10" s="143" t="s">
        <v>34</v>
      </c>
      <c r="B10" s="158">
        <v>2164.5542</v>
      </c>
    </row>
    <row r="11" spans="1:2">
      <c r="A11" s="143" t="s">
        <v>35</v>
      </c>
      <c r="B11" s="158">
        <v>2140.5846999999999</v>
      </c>
    </row>
    <row r="12" spans="1:2">
      <c r="A12" s="143" t="s">
        <v>155</v>
      </c>
      <c r="B12" s="158">
        <v>2215</v>
      </c>
    </row>
    <row r="13" spans="1:2" ht="12.75" customHeight="1">
      <c r="A13" s="143" t="s">
        <v>151</v>
      </c>
      <c r="B13" s="158">
        <v>2255</v>
      </c>
    </row>
    <row r="14" spans="1:2" ht="12.75" customHeight="1"/>
  </sheetData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8A99-0751-432A-BD01-378E93189591}">
  <dimension ref="A1:C91"/>
  <sheetViews>
    <sheetView zoomScale="80" zoomScaleNormal="80" workbookViewId="0">
      <selection activeCell="B3" sqref="B3"/>
    </sheetView>
  </sheetViews>
  <sheetFormatPr defaultColWidth="9.109375" defaultRowHeight="13.2"/>
  <cols>
    <col min="1" max="1" width="14.6640625" bestFit="1" customWidth="1"/>
    <col min="2" max="2" width="7.44140625" bestFit="1" customWidth="1"/>
    <col min="3" max="3" width="12.6640625" customWidth="1"/>
  </cols>
  <sheetData>
    <row r="1" spans="1:3">
      <c r="A1" s="141" t="s">
        <v>150</v>
      </c>
      <c r="B1" s="136" t="s">
        <v>14</v>
      </c>
      <c r="C1" s="136" t="s">
        <v>26</v>
      </c>
    </row>
    <row r="2" spans="1:3">
      <c r="A2" s="143" t="s">
        <v>108</v>
      </c>
      <c r="B2" s="158">
        <v>1479.1965150048402</v>
      </c>
      <c r="C2" s="158">
        <v>1528.01</v>
      </c>
    </row>
    <row r="3" spans="1:3">
      <c r="A3" s="143" t="s">
        <v>109</v>
      </c>
      <c r="B3" s="158">
        <v>1392.1706734967113</v>
      </c>
      <c r="C3" s="158">
        <v>2391.61</v>
      </c>
    </row>
    <row r="4" spans="1:3">
      <c r="A4" s="143" t="s">
        <v>110</v>
      </c>
      <c r="B4" s="158">
        <v>1742.2340846184261</v>
      </c>
      <c r="C4" s="158">
        <v>2203.0549999999998</v>
      </c>
    </row>
    <row r="5" spans="1:3">
      <c r="A5" s="143" t="s">
        <v>111</v>
      </c>
      <c r="B5" s="158">
        <v>1610.197854435665</v>
      </c>
      <c r="C5" s="158">
        <v>2506.5949999999998</v>
      </c>
    </row>
    <row r="6" spans="1:3">
      <c r="A6" s="143" t="s">
        <v>112</v>
      </c>
      <c r="B6" s="158">
        <v>1678.7686022760433</v>
      </c>
      <c r="C6" s="158">
        <v>2876.57</v>
      </c>
    </row>
    <row r="7" spans="1:3">
      <c r="A7" s="143" t="s">
        <v>113</v>
      </c>
      <c r="B7" s="158">
        <v>1825.4520661647</v>
      </c>
      <c r="C7" s="158">
        <v>3078.99</v>
      </c>
    </row>
    <row r="8" spans="1:3">
      <c r="A8" s="143" t="s">
        <v>114</v>
      </c>
      <c r="B8" s="158">
        <v>1526.1788211788212</v>
      </c>
      <c r="C8" s="158">
        <v>3055.41</v>
      </c>
    </row>
    <row r="9" spans="1:3">
      <c r="A9" s="143" t="s">
        <v>115</v>
      </c>
      <c r="B9" s="158">
        <v>1861.2303732303733</v>
      </c>
      <c r="C9" s="158">
        <v>3615.44</v>
      </c>
    </row>
    <row r="10" spans="1:3">
      <c r="A10" s="143" t="s">
        <v>34</v>
      </c>
      <c r="B10" s="158">
        <v>1781.0238282272846</v>
      </c>
      <c r="C10" s="158">
        <v>3400.8649999999998</v>
      </c>
    </row>
    <row r="11" spans="1:3">
      <c r="A11" s="143" t="s">
        <v>35</v>
      </c>
      <c r="B11" s="158">
        <v>1931.4587761494574</v>
      </c>
      <c r="C11" s="158">
        <v>3453.0619999999999</v>
      </c>
    </row>
    <row r="12" spans="1:3">
      <c r="A12" s="143" t="s">
        <v>155</v>
      </c>
      <c r="B12" s="158">
        <v>1302.3216850167546</v>
      </c>
      <c r="C12" s="158">
        <v>2720.55</v>
      </c>
    </row>
    <row r="13" spans="1:3">
      <c r="A13" s="143" t="s">
        <v>151</v>
      </c>
      <c r="B13" s="158">
        <v>1875</v>
      </c>
      <c r="C13" s="158">
        <v>3905</v>
      </c>
    </row>
    <row r="14" spans="1:3">
      <c r="A14" s="134"/>
      <c r="B14" s="154"/>
      <c r="C14" s="154"/>
    </row>
    <row r="15" spans="1:3">
      <c r="A15" s="134"/>
      <c r="B15" s="154"/>
      <c r="C15" s="154"/>
    </row>
    <row r="16" spans="1:3">
      <c r="A16" s="127"/>
      <c r="B16" s="137"/>
      <c r="C16" s="137"/>
    </row>
    <row r="17" spans="1:3">
      <c r="A17" s="127"/>
      <c r="B17" s="137"/>
      <c r="C17" s="137"/>
    </row>
    <row r="18" spans="1:3">
      <c r="A18" s="127"/>
      <c r="B18" s="127"/>
      <c r="C18" s="127"/>
    </row>
    <row r="19" spans="1:3">
      <c r="A19" s="127"/>
      <c r="B19" s="127"/>
      <c r="C19" s="127"/>
    </row>
    <row r="20" spans="1:3">
      <c r="A20" s="127"/>
      <c r="B20" s="127"/>
      <c r="C20" s="127"/>
    </row>
    <row r="21" spans="1:3">
      <c r="A21" s="127"/>
      <c r="B21" s="127"/>
      <c r="C21" s="127"/>
    </row>
    <row r="22" spans="1:3">
      <c r="A22" s="127"/>
      <c r="B22" s="127"/>
      <c r="C22" s="127"/>
    </row>
    <row r="23" spans="1:3">
      <c r="A23" s="127"/>
      <c r="B23" s="127"/>
      <c r="C23" s="127"/>
    </row>
    <row r="24" spans="1:3">
      <c r="A24" s="127"/>
      <c r="B24" s="127"/>
      <c r="C24" s="127"/>
    </row>
    <row r="25" spans="1:3">
      <c r="A25" s="127"/>
      <c r="B25" s="127"/>
      <c r="C25" s="127"/>
    </row>
    <row r="26" spans="1:3">
      <c r="A26" s="127"/>
      <c r="B26" s="127"/>
      <c r="C26" s="127"/>
    </row>
    <row r="27" spans="1:3">
      <c r="A27" s="127"/>
      <c r="B27" s="127"/>
      <c r="C27" s="127"/>
    </row>
    <row r="28" spans="1:3">
      <c r="A28" s="127"/>
      <c r="B28" s="127"/>
      <c r="C28" s="127"/>
    </row>
    <row r="29" spans="1:3">
      <c r="A29" s="127"/>
      <c r="B29" s="127"/>
      <c r="C29" s="127"/>
    </row>
    <row r="30" spans="1:3">
      <c r="A30" s="127"/>
      <c r="B30" s="127"/>
      <c r="C30" s="127"/>
    </row>
    <row r="31" spans="1:3">
      <c r="A31" s="127"/>
      <c r="B31" s="127"/>
      <c r="C31" s="127"/>
    </row>
    <row r="32" spans="1:3">
      <c r="A32" s="127"/>
      <c r="B32" s="127"/>
      <c r="C32" s="127"/>
    </row>
    <row r="33" spans="1:3">
      <c r="A33" s="127"/>
      <c r="B33" s="127"/>
      <c r="C33" s="127"/>
    </row>
    <row r="34" spans="1:3">
      <c r="A34" s="127"/>
      <c r="B34" s="127"/>
      <c r="C34" s="127"/>
    </row>
    <row r="35" spans="1:3">
      <c r="A35" s="127"/>
      <c r="B35" s="127"/>
      <c r="C35" s="127"/>
    </row>
    <row r="36" spans="1:3">
      <c r="A36" s="127"/>
      <c r="B36" s="127"/>
      <c r="C36" s="127"/>
    </row>
    <row r="37" spans="1:3">
      <c r="A37" s="127"/>
      <c r="B37" s="127"/>
      <c r="C37" s="127"/>
    </row>
    <row r="38" spans="1:3">
      <c r="A38" s="127"/>
      <c r="B38" s="127"/>
      <c r="C38" s="127"/>
    </row>
    <row r="39" spans="1:3">
      <c r="A39" s="127"/>
      <c r="B39" s="127"/>
      <c r="C39" s="127"/>
    </row>
    <row r="40" spans="1:3">
      <c r="A40" s="127"/>
      <c r="B40" s="127"/>
      <c r="C40" s="127"/>
    </row>
    <row r="41" spans="1:3">
      <c r="A41" s="127"/>
      <c r="B41" s="127"/>
      <c r="C41" s="127"/>
    </row>
    <row r="42" spans="1:3">
      <c r="A42" s="127"/>
      <c r="B42" s="127"/>
      <c r="C42" s="127"/>
    </row>
    <row r="43" spans="1:3">
      <c r="A43" s="127"/>
      <c r="B43" s="127"/>
      <c r="C43" s="127"/>
    </row>
    <row r="44" spans="1:3">
      <c r="A44" s="127"/>
      <c r="B44" s="127"/>
      <c r="C44" s="127"/>
    </row>
    <row r="45" spans="1:3">
      <c r="A45" s="127"/>
      <c r="B45" s="127"/>
      <c r="C45" s="127"/>
    </row>
    <row r="46" spans="1:3">
      <c r="A46" s="127"/>
      <c r="B46" s="127"/>
      <c r="C46" s="127"/>
    </row>
    <row r="47" spans="1:3">
      <c r="A47" s="127"/>
      <c r="B47" s="127"/>
      <c r="C47" s="127"/>
    </row>
    <row r="48" spans="1:3">
      <c r="A48" s="127"/>
      <c r="B48" s="127"/>
      <c r="C48" s="127"/>
    </row>
    <row r="49" spans="1:3">
      <c r="A49" s="127"/>
      <c r="B49" s="127"/>
      <c r="C49" s="127"/>
    </row>
    <row r="50" spans="1:3">
      <c r="A50" s="127"/>
      <c r="B50" s="127"/>
      <c r="C50" s="127"/>
    </row>
    <row r="51" spans="1:3">
      <c r="A51" s="127"/>
      <c r="B51" s="127"/>
      <c r="C51" s="127"/>
    </row>
    <row r="52" spans="1:3">
      <c r="A52" s="127"/>
      <c r="B52" s="127"/>
      <c r="C52" s="127"/>
    </row>
    <row r="53" spans="1:3">
      <c r="A53" s="127"/>
      <c r="B53" s="127"/>
      <c r="C53" s="127"/>
    </row>
    <row r="54" spans="1:3">
      <c r="A54" s="127"/>
      <c r="B54" s="127"/>
      <c r="C54" s="127"/>
    </row>
    <row r="55" spans="1:3">
      <c r="A55" s="127"/>
      <c r="B55" s="127"/>
      <c r="C55" s="127"/>
    </row>
    <row r="56" spans="1:3">
      <c r="A56" s="127"/>
      <c r="B56" s="127"/>
      <c r="C56" s="127"/>
    </row>
    <row r="57" spans="1:3">
      <c r="A57" s="127"/>
      <c r="B57" s="127"/>
      <c r="C57" s="127"/>
    </row>
    <row r="58" spans="1:3">
      <c r="A58" s="127"/>
      <c r="B58" s="127"/>
      <c r="C58" s="127"/>
    </row>
    <row r="59" spans="1:3">
      <c r="A59" s="127"/>
      <c r="B59" s="127"/>
      <c r="C59" s="127"/>
    </row>
    <row r="60" spans="1:3">
      <c r="A60" s="127"/>
      <c r="B60" s="127"/>
      <c r="C60" s="127"/>
    </row>
    <row r="61" spans="1:3">
      <c r="A61" s="127"/>
      <c r="B61" s="127"/>
      <c r="C61" s="127"/>
    </row>
    <row r="62" spans="1:3">
      <c r="A62" s="127"/>
      <c r="B62" s="127"/>
      <c r="C62" s="127"/>
    </row>
    <row r="63" spans="1:3">
      <c r="A63" s="127"/>
      <c r="B63" s="127"/>
      <c r="C63" s="127"/>
    </row>
    <row r="64" spans="1:3">
      <c r="A64" s="127"/>
      <c r="B64" s="127"/>
      <c r="C64" s="127"/>
    </row>
    <row r="65" spans="1:3">
      <c r="A65" s="127"/>
      <c r="B65" s="127"/>
      <c r="C65" s="127"/>
    </row>
    <row r="66" spans="1:3">
      <c r="A66" s="127"/>
      <c r="B66" s="127"/>
      <c r="C66" s="127"/>
    </row>
    <row r="67" spans="1:3">
      <c r="A67" s="127"/>
      <c r="B67" s="127"/>
      <c r="C67" s="127"/>
    </row>
    <row r="68" spans="1:3">
      <c r="A68" s="127"/>
      <c r="B68" s="127"/>
      <c r="C68" s="127"/>
    </row>
    <row r="69" spans="1:3">
      <c r="A69" s="127"/>
      <c r="B69" s="127"/>
      <c r="C69" s="127"/>
    </row>
    <row r="70" spans="1:3">
      <c r="A70" s="127"/>
      <c r="B70" s="127"/>
      <c r="C70" s="127"/>
    </row>
    <row r="71" spans="1:3">
      <c r="A71" s="127"/>
      <c r="B71" s="127"/>
      <c r="C71" s="127"/>
    </row>
    <row r="72" spans="1:3">
      <c r="A72" s="127"/>
      <c r="B72" s="127"/>
      <c r="C72" s="127"/>
    </row>
    <row r="73" spans="1:3">
      <c r="A73" s="127"/>
      <c r="B73" s="127"/>
      <c r="C73" s="127"/>
    </row>
    <row r="74" spans="1:3">
      <c r="A74" s="127"/>
      <c r="B74" s="127"/>
      <c r="C74" s="127"/>
    </row>
    <row r="75" spans="1:3">
      <c r="A75" s="127"/>
      <c r="B75" s="127"/>
      <c r="C75" s="127"/>
    </row>
    <row r="76" spans="1:3">
      <c r="A76" s="127"/>
      <c r="B76" s="127"/>
      <c r="C76" s="127"/>
    </row>
    <row r="77" spans="1:3">
      <c r="A77" s="127"/>
      <c r="B77" s="127"/>
      <c r="C77" s="127"/>
    </row>
    <row r="78" spans="1:3">
      <c r="A78" s="127"/>
      <c r="B78" s="127"/>
      <c r="C78" s="127"/>
    </row>
    <row r="79" spans="1:3">
      <c r="A79" s="127"/>
      <c r="B79" s="127"/>
      <c r="C79" s="127"/>
    </row>
    <row r="80" spans="1:3">
      <c r="A80" s="127"/>
      <c r="B80" s="127"/>
      <c r="C80" s="127"/>
    </row>
    <row r="81" spans="1:3">
      <c r="A81" s="127"/>
      <c r="B81" s="127"/>
      <c r="C81" s="127"/>
    </row>
    <row r="82" spans="1:3">
      <c r="A82" s="127"/>
      <c r="B82" s="127"/>
      <c r="C82" s="127"/>
    </row>
    <row r="83" spans="1:3">
      <c r="A83" s="127"/>
      <c r="B83" s="127"/>
      <c r="C83" s="127"/>
    </row>
    <row r="84" spans="1:3">
      <c r="A84" s="127"/>
      <c r="B84" s="127"/>
      <c r="C84" s="127"/>
    </row>
    <row r="85" spans="1:3">
      <c r="A85" s="127"/>
      <c r="B85" s="127"/>
      <c r="C85" s="127"/>
    </row>
    <row r="86" spans="1:3">
      <c r="A86" s="127"/>
      <c r="B86" s="127"/>
      <c r="C86" s="127"/>
    </row>
    <row r="87" spans="1:3">
      <c r="A87" s="127"/>
      <c r="B87" s="127"/>
      <c r="C87" s="127"/>
    </row>
    <row r="88" spans="1:3">
      <c r="A88" s="127"/>
      <c r="B88" s="127"/>
      <c r="C88" s="127"/>
    </row>
    <row r="89" spans="1:3">
      <c r="A89" s="127"/>
      <c r="B89" s="127"/>
      <c r="C89" s="127"/>
    </row>
    <row r="90" spans="1:3">
      <c r="A90" s="127"/>
      <c r="B90" s="127"/>
      <c r="C90" s="127"/>
    </row>
    <row r="91" spans="1:3">
      <c r="A91" s="127"/>
      <c r="B91" s="127"/>
      <c r="C91" s="127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BCA3-42F5-4263-AFD3-A116A6071F7D}">
  <dimension ref="A1:J81"/>
  <sheetViews>
    <sheetView zoomScale="90" zoomScaleNormal="90" workbookViewId="0">
      <selection activeCell="N31" sqref="N31"/>
    </sheetView>
  </sheetViews>
  <sheetFormatPr defaultColWidth="9.109375" defaultRowHeight="13.2"/>
  <cols>
    <col min="1" max="1" width="13.44140625" style="140" bestFit="1" customWidth="1"/>
    <col min="2" max="2" width="11.109375" style="128" customWidth="1"/>
    <col min="3" max="3" width="7.44140625" style="128" bestFit="1" customWidth="1"/>
    <col min="4" max="4" width="10.109375" style="128" bestFit="1" customWidth="1"/>
    <col min="5" max="5" width="9" style="128" bestFit="1" customWidth="1"/>
    <col min="6" max="6" width="14.6640625" style="128" customWidth="1"/>
    <col min="7" max="7" width="6.109375" style="128" bestFit="1" customWidth="1"/>
    <col min="8" max="8" width="11.44140625" bestFit="1" customWidth="1"/>
    <col min="11" max="16384" width="9.109375" style="128"/>
  </cols>
  <sheetData>
    <row r="1" spans="1:9">
      <c r="B1" s="163" t="s">
        <v>26</v>
      </c>
      <c r="C1" s="163"/>
      <c r="D1" s="163"/>
      <c r="E1" s="163"/>
      <c r="F1" s="163"/>
      <c r="G1" s="163"/>
    </row>
    <row r="2" spans="1:9" ht="39.6">
      <c r="A2" s="138" t="s">
        <v>152</v>
      </c>
      <c r="B2" s="122" t="s">
        <v>120</v>
      </c>
      <c r="C2" s="122" t="s">
        <v>159</v>
      </c>
      <c r="D2" s="122" t="s">
        <v>157</v>
      </c>
      <c r="E2" s="122" t="s">
        <v>156</v>
      </c>
      <c r="F2" s="122" t="s">
        <v>158</v>
      </c>
      <c r="G2" s="122" t="s">
        <v>175</v>
      </c>
      <c r="H2" s="122" t="s">
        <v>178</v>
      </c>
    </row>
    <row r="3" spans="1:9">
      <c r="A3" s="135" t="s">
        <v>113</v>
      </c>
      <c r="B3" s="158">
        <v>39.286999999999999</v>
      </c>
      <c r="C3" s="158">
        <v>45.97</v>
      </c>
      <c r="D3" s="158">
        <v>69.554000000000002</v>
      </c>
      <c r="E3" s="158">
        <v>350.38799999999998</v>
      </c>
      <c r="F3" s="158">
        <v>48.393000000000001</v>
      </c>
      <c r="G3" s="158">
        <v>22.657</v>
      </c>
      <c r="H3" s="158">
        <v>468.072</v>
      </c>
      <c r="I3" s="162"/>
    </row>
    <row r="4" spans="1:9">
      <c r="A4" s="135" t="s">
        <v>114</v>
      </c>
      <c r="B4" s="158">
        <v>45.252000000000002</v>
      </c>
      <c r="C4" s="158">
        <v>47.152000000000001</v>
      </c>
      <c r="D4" s="158">
        <v>75.283000000000001</v>
      </c>
      <c r="E4" s="158">
        <v>343.73500000000001</v>
      </c>
      <c r="F4" s="158">
        <v>48.01</v>
      </c>
      <c r="G4" s="158">
        <v>24.463000000000001</v>
      </c>
      <c r="H4" s="158">
        <v>484.238</v>
      </c>
      <c r="I4" s="162"/>
    </row>
    <row r="5" spans="1:9">
      <c r="A5" s="135" t="s">
        <v>115</v>
      </c>
      <c r="B5" s="158">
        <v>42.97</v>
      </c>
      <c r="C5" s="158">
        <v>46.709000000000003</v>
      </c>
      <c r="D5" s="158">
        <v>72.852999999999994</v>
      </c>
      <c r="E5" s="158">
        <v>362.44299999999998</v>
      </c>
      <c r="F5" s="158">
        <v>50.658999999999999</v>
      </c>
      <c r="G5" s="158">
        <v>25.28</v>
      </c>
      <c r="H5" s="158">
        <v>489.2</v>
      </c>
      <c r="I5" s="162"/>
    </row>
    <row r="6" spans="1:9">
      <c r="A6" s="135" t="s">
        <v>34</v>
      </c>
      <c r="B6" s="158">
        <v>43.546999999999997</v>
      </c>
      <c r="C6" s="158">
        <v>48.136000000000003</v>
      </c>
      <c r="D6" s="158">
        <v>69.597999999999999</v>
      </c>
      <c r="E6" s="158">
        <v>340.15199999999999</v>
      </c>
      <c r="F6" s="158">
        <v>54.2</v>
      </c>
      <c r="G6" s="158">
        <v>25.018000000000001</v>
      </c>
      <c r="H6" s="158">
        <v>507.73099999999999</v>
      </c>
      <c r="I6" s="162"/>
    </row>
    <row r="7" spans="1:9">
      <c r="A7" s="135" t="s">
        <v>35</v>
      </c>
      <c r="B7" s="158">
        <v>40.805999999999997</v>
      </c>
      <c r="C7" s="158">
        <v>50.247999999999998</v>
      </c>
      <c r="D7" s="158">
        <v>73.593000000000004</v>
      </c>
      <c r="E7" s="158">
        <v>368.12200000000001</v>
      </c>
      <c r="F7" s="158">
        <v>49.249000000000002</v>
      </c>
      <c r="G7" s="158">
        <v>24.623000000000001</v>
      </c>
      <c r="H7" s="158">
        <v>508.00099999999998</v>
      </c>
      <c r="I7" s="162"/>
    </row>
    <row r="8" spans="1:9">
      <c r="A8" s="135" t="s">
        <v>155</v>
      </c>
      <c r="B8" s="158">
        <v>42.747</v>
      </c>
      <c r="C8" s="158">
        <v>50.286999999999999</v>
      </c>
      <c r="D8" s="158">
        <v>71.179000000000002</v>
      </c>
      <c r="E8" s="158">
        <v>349.36700000000002</v>
      </c>
      <c r="F8" s="158">
        <v>57.378999999999998</v>
      </c>
      <c r="G8" s="158">
        <v>25.91</v>
      </c>
      <c r="H8" s="158">
        <v>510.30500000000001</v>
      </c>
      <c r="I8" s="162"/>
    </row>
    <row r="9" spans="1:9">
      <c r="A9" s="135" t="s">
        <v>151</v>
      </c>
      <c r="B9" s="158">
        <v>44.073999999999998</v>
      </c>
      <c r="C9" s="158">
        <v>50.914000000000001</v>
      </c>
      <c r="D9" s="158">
        <v>80.319999999999993</v>
      </c>
      <c r="E9" s="158">
        <v>394.69299999999998</v>
      </c>
      <c r="F9" s="158">
        <v>50.722000000000001</v>
      </c>
      <c r="G9" s="158">
        <v>26.422000000000001</v>
      </c>
      <c r="H9" s="158">
        <v>528.05399999999997</v>
      </c>
      <c r="I9" s="162"/>
    </row>
    <row r="10" spans="1:9">
      <c r="D10" s="139"/>
      <c r="E10" s="139"/>
      <c r="F10" s="139"/>
      <c r="G10" s="144"/>
    </row>
    <row r="11" spans="1:9">
      <c r="D11" s="139"/>
      <c r="E11" s="139"/>
      <c r="F11" s="139"/>
      <c r="G11" s="144"/>
    </row>
    <row r="12" spans="1:9">
      <c r="D12" s="139"/>
      <c r="E12" s="139"/>
      <c r="F12" s="139"/>
      <c r="G12" s="144"/>
    </row>
    <row r="13" spans="1:9">
      <c r="D13" s="139"/>
      <c r="E13" s="139"/>
      <c r="F13" s="139"/>
      <c r="G13" s="144"/>
    </row>
    <row r="14" spans="1:9">
      <c r="A14" s="135"/>
      <c r="B14" s="161"/>
      <c r="C14" s="161"/>
      <c r="D14" s="144"/>
      <c r="E14" s="144"/>
      <c r="F14" s="144"/>
      <c r="G14" s="144"/>
      <c r="H14" s="161"/>
    </row>
    <row r="15" spans="1:9">
      <c r="A15" s="135"/>
      <c r="B15" s="161"/>
      <c r="C15" s="161"/>
      <c r="D15" s="144"/>
      <c r="E15" s="144"/>
      <c r="F15" s="144"/>
      <c r="G15" s="144"/>
      <c r="H15" s="161"/>
    </row>
    <row r="16" spans="1:9">
      <c r="A16" s="135"/>
      <c r="B16" s="161"/>
      <c r="C16" s="161"/>
      <c r="D16" s="144"/>
      <c r="E16" s="144"/>
      <c r="F16" s="144"/>
      <c r="G16" s="144"/>
      <c r="H16" s="161"/>
    </row>
    <row r="17" spans="1:8">
      <c r="A17" s="135"/>
      <c r="B17" s="161"/>
      <c r="C17" s="161"/>
      <c r="D17" s="144"/>
      <c r="E17" s="144"/>
      <c r="F17" s="144"/>
      <c r="G17" s="144"/>
      <c r="H17" s="161"/>
    </row>
    <row r="18" spans="1:8">
      <c r="A18" s="135"/>
      <c r="B18" s="161"/>
      <c r="C18" s="161"/>
      <c r="D18" s="144"/>
      <c r="E18" s="144"/>
      <c r="F18" s="144"/>
      <c r="G18" s="144"/>
      <c r="H18" s="161"/>
    </row>
    <row r="19" spans="1:8">
      <c r="E19" s="129"/>
    </row>
    <row r="20" spans="1:8">
      <c r="E20" s="129"/>
    </row>
    <row r="21" spans="1:8">
      <c r="E21" s="129"/>
    </row>
    <row r="22" spans="1:8">
      <c r="E22" s="129"/>
    </row>
    <row r="23" spans="1:8">
      <c r="E23" s="129"/>
    </row>
    <row r="24" spans="1:8">
      <c r="E24" s="129"/>
    </row>
    <row r="25" spans="1:8">
      <c r="E25" s="129"/>
    </row>
    <row r="26" spans="1:8">
      <c r="E26" s="129"/>
    </row>
    <row r="27" spans="1:8">
      <c r="E27" s="129"/>
    </row>
    <row r="28" spans="1:8">
      <c r="E28" s="129"/>
    </row>
    <row r="29" spans="1:8">
      <c r="E29" s="129"/>
    </row>
    <row r="30" spans="1:8">
      <c r="E30" s="129"/>
    </row>
    <row r="31" spans="1:8">
      <c r="E31" s="129"/>
    </row>
    <row r="32" spans="1:8">
      <c r="E32" s="129"/>
    </row>
    <row r="33" spans="5:5">
      <c r="E33" s="129"/>
    </row>
    <row r="34" spans="5:5">
      <c r="E34" s="129"/>
    </row>
    <row r="35" spans="5:5">
      <c r="E35" s="129"/>
    </row>
    <row r="36" spans="5:5">
      <c r="E36" s="129"/>
    </row>
    <row r="37" spans="5:5">
      <c r="E37" s="129"/>
    </row>
    <row r="38" spans="5:5">
      <c r="E38" s="129"/>
    </row>
    <row r="39" spans="5:5">
      <c r="E39" s="129"/>
    </row>
    <row r="40" spans="5:5">
      <c r="E40" s="129"/>
    </row>
    <row r="41" spans="5:5">
      <c r="E41" s="129"/>
    </row>
    <row r="42" spans="5:5">
      <c r="E42" s="129"/>
    </row>
    <row r="43" spans="5:5">
      <c r="E43" s="129"/>
    </row>
    <row r="44" spans="5:5">
      <c r="E44" s="129"/>
    </row>
    <row r="45" spans="5:5">
      <c r="E45" s="129"/>
    </row>
    <row r="46" spans="5:5">
      <c r="E46" s="129"/>
    </row>
    <row r="47" spans="5:5">
      <c r="E47" s="129"/>
    </row>
    <row r="48" spans="5:5">
      <c r="E48" s="129"/>
    </row>
    <row r="49" spans="5:5">
      <c r="E49" s="129"/>
    </row>
    <row r="50" spans="5:5">
      <c r="E50" s="129"/>
    </row>
    <row r="51" spans="5:5">
      <c r="E51" s="129"/>
    </row>
    <row r="52" spans="5:5">
      <c r="E52" s="129"/>
    </row>
    <row r="53" spans="5:5">
      <c r="E53" s="129"/>
    </row>
    <row r="54" spans="5:5">
      <c r="E54" s="129"/>
    </row>
    <row r="55" spans="5:5">
      <c r="E55" s="129"/>
    </row>
    <row r="56" spans="5:5">
      <c r="E56" s="129"/>
    </row>
    <row r="57" spans="5:5">
      <c r="E57" s="129"/>
    </row>
    <row r="58" spans="5:5">
      <c r="E58" s="129"/>
    </row>
    <row r="59" spans="5:5">
      <c r="E59" s="129"/>
    </row>
    <row r="60" spans="5:5">
      <c r="E60" s="129"/>
    </row>
    <row r="61" spans="5:5">
      <c r="E61" s="129"/>
    </row>
    <row r="62" spans="5:5">
      <c r="E62" s="129"/>
    </row>
    <row r="63" spans="5:5">
      <c r="E63" s="129"/>
    </row>
    <row r="64" spans="5:5">
      <c r="E64" s="129"/>
    </row>
    <row r="65" spans="5:5">
      <c r="E65" s="129"/>
    </row>
    <row r="66" spans="5:5">
      <c r="E66" s="129"/>
    </row>
    <row r="67" spans="5:5">
      <c r="E67" s="129"/>
    </row>
    <row r="68" spans="5:5">
      <c r="E68" s="129"/>
    </row>
    <row r="69" spans="5:5">
      <c r="E69" s="129"/>
    </row>
    <row r="70" spans="5:5">
      <c r="E70" s="129"/>
    </row>
    <row r="71" spans="5:5">
      <c r="E71" s="129"/>
    </row>
    <row r="72" spans="5:5">
      <c r="E72" s="129"/>
    </row>
    <row r="73" spans="5:5">
      <c r="E73" s="129"/>
    </row>
    <row r="74" spans="5:5">
      <c r="E74" s="129"/>
    </row>
    <row r="75" spans="5:5">
      <c r="E75" s="129"/>
    </row>
    <row r="76" spans="5:5">
      <c r="E76" s="129"/>
    </row>
    <row r="77" spans="5:5">
      <c r="E77" s="129"/>
    </row>
    <row r="78" spans="5:5">
      <c r="E78" s="129"/>
    </row>
    <row r="79" spans="5:5">
      <c r="E79" s="129"/>
    </row>
    <row r="80" spans="5:5">
      <c r="E80" s="129"/>
    </row>
    <row r="81" spans="5:5">
      <c r="E81" s="129"/>
    </row>
  </sheetData>
  <phoneticPr fontId="33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F8FF-00CB-4838-B5EA-15FF2E6F5E55}">
  <dimension ref="A1:I19"/>
  <sheetViews>
    <sheetView zoomScale="90" zoomScaleNormal="90" workbookViewId="0">
      <selection activeCell="J31" sqref="J31"/>
    </sheetView>
  </sheetViews>
  <sheetFormatPr defaultColWidth="9.109375" defaultRowHeight="13.2"/>
  <cols>
    <col min="1" max="1" width="13.44140625" style="140" bestFit="1" customWidth="1"/>
    <col min="2" max="2" width="13.44140625" style="140" customWidth="1"/>
    <col min="3" max="3" width="11.109375" style="128" customWidth="1"/>
    <col min="4" max="5" width="9.109375" style="128"/>
    <col min="6" max="6" width="11.109375" style="128" customWidth="1"/>
    <col min="10" max="16384" width="9.109375" style="128"/>
  </cols>
  <sheetData>
    <row r="1" spans="1:6" ht="39.6">
      <c r="A1" s="138" t="s">
        <v>152</v>
      </c>
      <c r="B1" s="122" t="s">
        <v>160</v>
      </c>
      <c r="C1" s="122" t="s">
        <v>161</v>
      </c>
      <c r="D1" s="122" t="s">
        <v>162</v>
      </c>
      <c r="E1" s="122" t="s">
        <v>163</v>
      </c>
      <c r="F1" s="122" t="s">
        <v>176</v>
      </c>
    </row>
    <row r="2" spans="1:6">
      <c r="A2" s="135" t="s">
        <v>108</v>
      </c>
      <c r="B2" s="161">
        <v>14.362</v>
      </c>
      <c r="C2" s="161">
        <v>42.848999999999997</v>
      </c>
      <c r="D2" s="161">
        <v>24.725000000000001</v>
      </c>
      <c r="E2" s="161">
        <v>52.47</v>
      </c>
      <c r="F2" s="144">
        <v>23.531999999999982</v>
      </c>
    </row>
    <row r="3" spans="1:6">
      <c r="A3" s="135" t="s">
        <v>109</v>
      </c>
      <c r="B3" s="161">
        <v>12.871</v>
      </c>
      <c r="C3" s="161">
        <v>43.386000000000003</v>
      </c>
      <c r="D3" s="161">
        <v>25.4</v>
      </c>
      <c r="E3" s="161">
        <v>56.423999999999999</v>
      </c>
      <c r="F3" s="144">
        <v>23.126999999999981</v>
      </c>
    </row>
    <row r="4" spans="1:6">
      <c r="A4" s="135" t="s">
        <v>110</v>
      </c>
      <c r="B4" s="161">
        <v>15.647</v>
      </c>
      <c r="C4" s="161">
        <v>45.292999999999999</v>
      </c>
      <c r="D4" s="161">
        <v>27.05</v>
      </c>
      <c r="E4" s="161">
        <v>59.268000000000001</v>
      </c>
      <c r="F4" s="144">
        <v>24.275000000000006</v>
      </c>
    </row>
    <row r="5" spans="1:6">
      <c r="A5" s="135" t="s">
        <v>111</v>
      </c>
      <c r="B5" s="161">
        <v>14.974</v>
      </c>
      <c r="C5" s="161">
        <v>49.335999999999999</v>
      </c>
      <c r="D5" s="161">
        <v>27.449000000000002</v>
      </c>
      <c r="E5" s="161">
        <v>62.069000000000003</v>
      </c>
      <c r="F5" s="144">
        <v>23.412000000000006</v>
      </c>
    </row>
    <row r="6" spans="1:6">
      <c r="A6" s="135" t="s">
        <v>112</v>
      </c>
      <c r="B6" s="161">
        <v>15.468999999999999</v>
      </c>
      <c r="C6" s="161">
        <v>51.674999999999997</v>
      </c>
      <c r="D6" s="161">
        <v>27.373000000000001</v>
      </c>
      <c r="E6" s="161">
        <v>58.856999999999999</v>
      </c>
      <c r="F6" s="144">
        <v>22.985000000000014</v>
      </c>
    </row>
    <row r="7" spans="1:6">
      <c r="A7" s="135" t="s">
        <v>113</v>
      </c>
      <c r="B7" s="161">
        <v>18.3</v>
      </c>
      <c r="C7" s="161">
        <v>53.908999999999999</v>
      </c>
      <c r="D7" s="161">
        <v>27.602</v>
      </c>
      <c r="E7" s="161">
        <v>65.263000000000005</v>
      </c>
      <c r="F7" s="161">
        <v>23.514999999999986</v>
      </c>
    </row>
    <row r="8" spans="1:6">
      <c r="A8" s="135" t="s">
        <v>114</v>
      </c>
      <c r="B8" s="161">
        <v>18.577999999999999</v>
      </c>
      <c r="C8" s="161">
        <v>55.279000000000003</v>
      </c>
      <c r="D8" s="161">
        <v>28.132000000000001</v>
      </c>
      <c r="E8" s="161">
        <v>70.64</v>
      </c>
      <c r="F8" s="144">
        <v>26.093999999999994</v>
      </c>
    </row>
    <row r="9" spans="1:6">
      <c r="A9" s="135" t="s">
        <v>115</v>
      </c>
      <c r="B9" s="161">
        <v>19.603000000000002</v>
      </c>
      <c r="C9" s="161">
        <v>56.061999999999998</v>
      </c>
      <c r="D9" s="161">
        <v>27.794</v>
      </c>
      <c r="E9" s="161">
        <v>74.275999999999996</v>
      </c>
      <c r="F9" s="161">
        <v>26.162000000000006</v>
      </c>
    </row>
    <row r="10" spans="1:6">
      <c r="A10" s="135" t="s">
        <v>34</v>
      </c>
      <c r="B10" s="161">
        <v>21.117999999999999</v>
      </c>
      <c r="C10" s="161">
        <v>58.521000000000001</v>
      </c>
      <c r="D10" s="161">
        <v>28.100999999999999</v>
      </c>
      <c r="E10" s="161">
        <v>73.105000000000004</v>
      </c>
      <c r="F10" s="144">
        <v>26.455000000000013</v>
      </c>
    </row>
    <row r="11" spans="1:6">
      <c r="A11" s="135" t="s">
        <v>35</v>
      </c>
      <c r="B11" s="161">
        <v>19.044</v>
      </c>
      <c r="C11" s="161">
        <v>59.164999999999999</v>
      </c>
      <c r="D11" s="161">
        <v>29.216999999999999</v>
      </c>
      <c r="E11" s="161">
        <v>73.129000000000005</v>
      </c>
      <c r="F11" s="161">
        <v>25.989000000000004</v>
      </c>
    </row>
    <row r="12" spans="1:6">
      <c r="A12" s="135" t="s">
        <v>155</v>
      </c>
      <c r="B12" s="161">
        <v>19.913</v>
      </c>
      <c r="C12" s="161">
        <v>59.112000000000002</v>
      </c>
      <c r="D12" s="161">
        <v>28.474</v>
      </c>
      <c r="E12" s="161">
        <v>76.947999999999993</v>
      </c>
      <c r="F12" s="144">
        <v>27.25800000000001</v>
      </c>
    </row>
    <row r="13" spans="1:6">
      <c r="A13" s="135" t="s">
        <v>151</v>
      </c>
      <c r="B13" s="161">
        <v>19.135999999999999</v>
      </c>
      <c r="C13" s="161">
        <v>61.429000000000002</v>
      </c>
      <c r="D13" s="161">
        <v>30.741</v>
      </c>
      <c r="E13" s="161">
        <v>79.126999999999995</v>
      </c>
      <c r="F13" s="161">
        <v>27.28400000000002</v>
      </c>
    </row>
    <row r="14" spans="1:6">
      <c r="F14" s="139"/>
    </row>
    <row r="15" spans="1:6">
      <c r="F15" s="139"/>
    </row>
    <row r="16" spans="1:6">
      <c r="F16" s="139"/>
    </row>
    <row r="17" spans="6:6">
      <c r="F17" s="139"/>
    </row>
    <row r="18" spans="6:6">
      <c r="F18" s="139"/>
    </row>
    <row r="19" spans="6:6">
      <c r="F19" s="13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32FAB-AB6B-47CF-A52E-7A7E5BDE7299}">
  <dimension ref="A1:G85"/>
  <sheetViews>
    <sheetView zoomScale="90" zoomScaleNormal="90" workbookViewId="0"/>
  </sheetViews>
  <sheetFormatPr defaultColWidth="9.109375" defaultRowHeight="13.2"/>
  <cols>
    <col min="1" max="1" width="13.44140625" style="140" bestFit="1" customWidth="1"/>
    <col min="2" max="2" width="10.88671875" style="128" customWidth="1"/>
    <col min="3" max="3" width="11.109375" style="128" customWidth="1"/>
    <col min="4" max="4" width="14.6640625" style="128" customWidth="1"/>
    <col min="5" max="5" width="11.109375" style="128" customWidth="1"/>
    <col min="6" max="16384" width="9.109375" style="128"/>
  </cols>
  <sheetData>
    <row r="1" spans="1:7" ht="39.6">
      <c r="A1" s="138" t="s">
        <v>177</v>
      </c>
      <c r="B1" s="122" t="s">
        <v>160</v>
      </c>
      <c r="C1" s="122" t="s">
        <v>161</v>
      </c>
      <c r="D1" s="122" t="s">
        <v>162</v>
      </c>
      <c r="E1" s="122" t="s">
        <v>163</v>
      </c>
      <c r="F1" s="122" t="s">
        <v>176</v>
      </c>
      <c r="G1" s="160"/>
    </row>
    <row r="2" spans="1:7">
      <c r="A2" s="135" t="s">
        <v>164</v>
      </c>
      <c r="B2" s="161">
        <v>2.5979999999999999</v>
      </c>
      <c r="C2" s="161">
        <v>4.1459999999999999</v>
      </c>
      <c r="D2" s="161">
        <v>4.22</v>
      </c>
      <c r="E2" s="161">
        <v>10.209</v>
      </c>
      <c r="F2" s="161">
        <v>2.0360000000000014</v>
      </c>
    </row>
    <row r="3" spans="1:7">
      <c r="A3" s="135" t="s">
        <v>165</v>
      </c>
      <c r="B3" s="161">
        <v>2.59</v>
      </c>
      <c r="C3" s="161">
        <v>4.2640000000000002</v>
      </c>
      <c r="D3" s="161">
        <v>3.3759999999999999</v>
      </c>
      <c r="E3" s="161">
        <v>12.693</v>
      </c>
      <c r="F3" s="161">
        <v>3.0849999999999973</v>
      </c>
    </row>
    <row r="4" spans="1:7">
      <c r="A4" s="135" t="s">
        <v>166</v>
      </c>
      <c r="B4" s="161">
        <v>2.3090000000000002</v>
      </c>
      <c r="C4" s="161">
        <v>4.6630000000000003</v>
      </c>
      <c r="D4" s="161">
        <v>2.8620000000000001</v>
      </c>
      <c r="E4" s="161">
        <v>14.532999999999999</v>
      </c>
      <c r="F4" s="161">
        <v>2.9980000000000011</v>
      </c>
    </row>
    <row r="5" spans="1:7">
      <c r="A5" s="135" t="s">
        <v>167</v>
      </c>
      <c r="B5" s="161">
        <v>2.7869999999999999</v>
      </c>
      <c r="C5" s="161">
        <v>5.2839999999999998</v>
      </c>
      <c r="D5" s="161">
        <v>2.7429999999999999</v>
      </c>
      <c r="E5" s="161">
        <v>15.337999999999999</v>
      </c>
      <c r="F5" s="161">
        <v>2.9919999999999973</v>
      </c>
    </row>
    <row r="6" spans="1:7">
      <c r="A6" s="135" t="s">
        <v>168</v>
      </c>
      <c r="B6" s="161">
        <v>1.9530000000000001</v>
      </c>
      <c r="C6" s="161">
        <v>5.1219999999999999</v>
      </c>
      <c r="D6" s="161">
        <v>3.4220000000000002</v>
      </c>
      <c r="E6" s="161">
        <v>14.257</v>
      </c>
      <c r="F6" s="161">
        <v>2.6660000000000039</v>
      </c>
    </row>
    <row r="7" spans="1:7">
      <c r="A7" s="135" t="s">
        <v>169</v>
      </c>
      <c r="B7" s="161">
        <v>2.331</v>
      </c>
      <c r="C7" s="161">
        <v>4.0919999999999996</v>
      </c>
      <c r="D7" s="161">
        <v>2.6150000000000002</v>
      </c>
      <c r="E7" s="161">
        <v>15.273</v>
      </c>
      <c r="F7" s="161">
        <v>2.8260000000000005</v>
      </c>
    </row>
    <row r="8" spans="1:7">
      <c r="A8" s="135" t="s">
        <v>170</v>
      </c>
      <c r="B8" s="161">
        <v>1.9530000000000001</v>
      </c>
      <c r="C8" s="161">
        <v>3.875</v>
      </c>
      <c r="D8" s="161">
        <v>3.0939999999999999</v>
      </c>
      <c r="E8" s="161">
        <v>16.524999999999999</v>
      </c>
      <c r="F8" s="161">
        <v>2.6810000000000009</v>
      </c>
    </row>
    <row r="9" spans="1:7">
      <c r="B9" s="139"/>
    </row>
    <row r="10" spans="1:7">
      <c r="B10" s="139"/>
      <c r="C10" s="139"/>
      <c r="D10" s="139"/>
    </row>
    <row r="11" spans="1:7">
      <c r="B11" s="139"/>
      <c r="C11" s="139"/>
      <c r="D11" s="139"/>
    </row>
    <row r="12" spans="1:7">
      <c r="B12" s="139"/>
      <c r="C12" s="139"/>
      <c r="D12" s="139"/>
    </row>
    <row r="13" spans="1:7">
      <c r="B13" s="139"/>
      <c r="C13" s="139"/>
      <c r="D13" s="139"/>
    </row>
    <row r="14" spans="1:7">
      <c r="B14" s="139"/>
      <c r="C14" s="139"/>
      <c r="D14" s="139"/>
    </row>
    <row r="15" spans="1:7">
      <c r="B15" s="139"/>
      <c r="C15" s="139"/>
      <c r="D15" s="139"/>
    </row>
    <row r="16" spans="1:7">
      <c r="B16" s="139"/>
      <c r="C16" s="139"/>
      <c r="D16" s="139"/>
    </row>
    <row r="17" spans="2:4">
      <c r="B17" s="139"/>
      <c r="C17" s="139"/>
      <c r="D17" s="139"/>
    </row>
    <row r="18" spans="2:4">
      <c r="B18" s="139"/>
      <c r="C18" s="139"/>
      <c r="D18" s="139"/>
    </row>
    <row r="19" spans="2:4">
      <c r="B19" s="139"/>
      <c r="C19" s="139"/>
      <c r="D19" s="139"/>
    </row>
    <row r="20" spans="2:4">
      <c r="B20" s="129"/>
    </row>
    <row r="21" spans="2:4">
      <c r="B21" s="129"/>
    </row>
    <row r="22" spans="2:4">
      <c r="B22" s="129"/>
    </row>
    <row r="23" spans="2:4">
      <c r="B23" s="129"/>
    </row>
    <row r="24" spans="2:4">
      <c r="B24" s="129"/>
    </row>
    <row r="25" spans="2:4">
      <c r="B25" s="129"/>
    </row>
    <row r="26" spans="2:4">
      <c r="B26" s="129"/>
    </row>
    <row r="27" spans="2:4">
      <c r="B27" s="129"/>
    </row>
    <row r="28" spans="2:4">
      <c r="B28" s="129"/>
    </row>
    <row r="29" spans="2:4">
      <c r="B29" s="129"/>
    </row>
    <row r="30" spans="2:4">
      <c r="B30" s="129"/>
    </row>
    <row r="31" spans="2:4">
      <c r="B31" s="129"/>
    </row>
    <row r="32" spans="2:4">
      <c r="B32" s="129"/>
    </row>
    <row r="33" spans="2:2">
      <c r="B33" s="129"/>
    </row>
    <row r="34" spans="2:2">
      <c r="B34" s="129"/>
    </row>
    <row r="35" spans="2:2">
      <c r="B35" s="129"/>
    </row>
    <row r="36" spans="2:2">
      <c r="B36" s="129"/>
    </row>
    <row r="37" spans="2:2">
      <c r="B37" s="129"/>
    </row>
    <row r="38" spans="2:2">
      <c r="B38" s="129"/>
    </row>
    <row r="39" spans="2:2">
      <c r="B39" s="129"/>
    </row>
    <row r="40" spans="2:2">
      <c r="B40" s="129"/>
    </row>
    <row r="41" spans="2:2">
      <c r="B41" s="129"/>
    </row>
    <row r="42" spans="2:2">
      <c r="B42" s="129"/>
    </row>
    <row r="43" spans="2:2">
      <c r="B43" s="129"/>
    </row>
    <row r="44" spans="2:2">
      <c r="B44" s="129"/>
    </row>
    <row r="45" spans="2:2">
      <c r="B45" s="129"/>
    </row>
    <row r="46" spans="2:2">
      <c r="B46" s="129"/>
    </row>
    <row r="47" spans="2:2">
      <c r="B47" s="129"/>
    </row>
    <row r="48" spans="2:2">
      <c r="B48" s="129"/>
    </row>
    <row r="49" spans="2:2">
      <c r="B49" s="129"/>
    </row>
    <row r="50" spans="2:2">
      <c r="B50" s="129"/>
    </row>
    <row r="51" spans="2:2">
      <c r="B51" s="129"/>
    </row>
    <row r="52" spans="2:2">
      <c r="B52" s="129"/>
    </row>
    <row r="53" spans="2:2">
      <c r="B53" s="129"/>
    </row>
    <row r="54" spans="2:2">
      <c r="B54" s="129"/>
    </row>
    <row r="55" spans="2:2">
      <c r="B55" s="129"/>
    </row>
    <row r="56" spans="2:2">
      <c r="B56" s="129"/>
    </row>
    <row r="57" spans="2:2">
      <c r="B57" s="129"/>
    </row>
    <row r="58" spans="2:2">
      <c r="B58" s="129"/>
    </row>
    <row r="59" spans="2:2">
      <c r="B59" s="129"/>
    </row>
    <row r="60" spans="2:2">
      <c r="B60" s="129"/>
    </row>
    <row r="61" spans="2:2">
      <c r="B61" s="129"/>
    </row>
    <row r="62" spans="2:2">
      <c r="B62" s="129"/>
    </row>
    <row r="63" spans="2:2">
      <c r="B63" s="129"/>
    </row>
    <row r="64" spans="2:2">
      <c r="B64" s="129"/>
    </row>
    <row r="65" spans="2:2">
      <c r="B65" s="129"/>
    </row>
    <row r="66" spans="2:2">
      <c r="B66" s="129"/>
    </row>
    <row r="67" spans="2:2">
      <c r="B67" s="129"/>
    </row>
    <row r="68" spans="2:2">
      <c r="B68" s="129"/>
    </row>
    <row r="69" spans="2:2">
      <c r="B69" s="129"/>
    </row>
    <row r="70" spans="2:2">
      <c r="B70" s="129"/>
    </row>
    <row r="71" spans="2:2">
      <c r="B71" s="129"/>
    </row>
    <row r="72" spans="2:2">
      <c r="B72" s="129"/>
    </row>
    <row r="73" spans="2:2">
      <c r="B73" s="129"/>
    </row>
    <row r="74" spans="2:2">
      <c r="B74" s="129"/>
    </row>
    <row r="75" spans="2:2">
      <c r="B75" s="129"/>
    </row>
    <row r="76" spans="2:2">
      <c r="B76" s="129"/>
    </row>
    <row r="77" spans="2:2">
      <c r="B77" s="129"/>
    </row>
    <row r="78" spans="2:2">
      <c r="B78" s="129"/>
    </row>
    <row r="79" spans="2:2">
      <c r="B79" s="129"/>
    </row>
    <row r="80" spans="2:2">
      <c r="B80" s="129"/>
    </row>
    <row r="81" spans="2:2">
      <c r="B81" s="129"/>
    </row>
    <row r="82" spans="2:2">
      <c r="B82" s="129"/>
    </row>
    <row r="83" spans="2:2">
      <c r="B83" s="129"/>
    </row>
    <row r="84" spans="2:2">
      <c r="B84" s="129"/>
    </row>
    <row r="85" spans="2:2">
      <c r="B85" s="129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D0DC926965849A8A345859E8241FA" ma:contentTypeVersion="4" ma:contentTypeDescription="Create a new document." ma:contentTypeScope="" ma:versionID="fcfa4948a12298a5d5bcc2ee22a4a696">
  <xsd:schema xmlns:xsd="http://www.w3.org/2001/XMLSchema" xmlns:xs="http://www.w3.org/2001/XMLSchema" xmlns:p="http://schemas.microsoft.com/office/2006/metadata/properties" xmlns:ns2="3c1da50d-9398-43ae-99ce-979307744be1" xmlns:ns3="52a62a5d-c671-4f59-8453-00a85cb6d91a" targetNamespace="http://schemas.microsoft.com/office/2006/metadata/properties" ma:root="true" ma:fieldsID="07fe756e01c9eb82ae9cc357eb648aab" ns2:_="" ns3:_="">
    <xsd:import namespace="3c1da50d-9398-43ae-99ce-979307744be1"/>
    <xsd:import namespace="52a62a5d-c671-4f59-8453-00a85cb6d9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da50d-9398-43ae-99ce-979307744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62a5d-c671-4f59-8453-00a85cb6d9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33B626-EC00-43C6-98C5-1C0183C1E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da50d-9398-43ae-99ce-979307744be1"/>
    <ds:schemaRef ds:uri="52a62a5d-c671-4f59-8453-00a85cb6d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Figure 5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REE-ERS, Kansas City, MO</cp:lastModifiedBy>
  <cp:revision/>
  <dcterms:created xsi:type="dcterms:W3CDTF">2001-11-13T16:22:15Z</dcterms:created>
  <dcterms:modified xsi:type="dcterms:W3CDTF">2022-05-13T20:38:10Z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0x0101007FCD0DC926965849A8A345859E8241FA</vt:lpwstr>
  </property>
</Properties>
</file>