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E May 2023/"/>
    </mc:Choice>
  </mc:AlternateContent>
  <xr:revisionPtr revIDLastSave="475" documentId="13_ncr:1_{03C732F9-66D6-4CB8-9D4C-9BC0FD2EC223}" xr6:coauthVersionLast="47" xr6:coauthVersionMax="47" xr10:uidLastSave="{E59E782A-00F4-4803-95AF-7BFD4612E099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28" r:id="rId9"/>
    <sheet name="Figure 2" sheetId="130" r:id="rId10"/>
    <sheet name="Figure 3" sheetId="129" r:id="rId11"/>
    <sheet name="Figure 4" sheetId="125" r:id="rId12"/>
    <sheet name="Figure 5" sheetId="131" r:id="rId13"/>
    <sheet name="Figure 6" sheetId="133" r:id="rId14"/>
    <sheet name="Figure 7" sheetId="127" r:id="rId15"/>
  </sheets>
  <definedNames>
    <definedName name="_xlnm.Print_Area" localSheetId="1">'Table 1'!$A$1:$N$41</definedName>
    <definedName name="_xlnm.Print_Area" localSheetId="7">'Table 10'!$A$1:$G$44</definedName>
    <definedName name="_xlnm.Print_Area" localSheetId="2">'Table 2'!$A$1:$J$33</definedName>
    <definedName name="_xlnm.Print_Area" localSheetId="3">'Table 3'!$A$1:$L$46</definedName>
    <definedName name="_xlnm.Print_Area" localSheetId="5">'Table 8'!$A$1:$G$43</definedName>
    <definedName name="_xlnm.Print_Area" localSheetId="6">'Table 9'!$A$1:$I$45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9" l="1"/>
  <c r="D31" i="2"/>
  <c r="J31" i="9" l="1"/>
  <c r="H31" i="2"/>
  <c r="G38" i="1" l="1"/>
  <c r="L38" i="1" l="1"/>
  <c r="L6" i="1" l="1"/>
  <c r="J38" i="1" l="1"/>
  <c r="E46" i="3"/>
  <c r="H46" i="3" s="1"/>
  <c r="N46" i="3" s="1"/>
  <c r="L46" i="3" s="1"/>
  <c r="D46" i="3"/>
  <c r="B33" i="3"/>
  <c r="E33" i="3" s="1"/>
  <c r="I33" i="3" s="1"/>
  <c r="G33" i="3" s="1"/>
  <c r="B21" i="3"/>
  <c r="E21" i="3" s="1"/>
  <c r="G21" i="3" s="1"/>
  <c r="I21" i="3" s="1"/>
  <c r="B8" i="3"/>
  <c r="E8" i="3" s="1"/>
  <c r="J8" i="3" s="1"/>
  <c r="I8" i="3" s="1"/>
  <c r="B8" i="2"/>
  <c r="E8" i="2" s="1"/>
  <c r="I8" i="2" s="1"/>
  <c r="E8" i="1"/>
  <c r="H8" i="1" s="1"/>
  <c r="M8" i="1" s="1"/>
  <c r="K8" i="1" s="1"/>
  <c r="E7" i="1"/>
  <c r="D8" i="1"/>
  <c r="E8" i="9" l="1"/>
  <c r="K8" i="9" s="1"/>
  <c r="G8" i="9" s="1"/>
  <c r="I8" i="9" s="1"/>
  <c r="B8" i="9"/>
  <c r="B11" i="9"/>
  <c r="B11" i="2"/>
  <c r="E14" i="1"/>
  <c r="B31" i="9" l="1"/>
  <c r="E31" i="9" s="1"/>
  <c r="K31" i="9" s="1"/>
  <c r="G31" i="9" s="1"/>
  <c r="B31" i="2"/>
  <c r="E31" i="2" s="1"/>
  <c r="I31" i="2" s="1"/>
  <c r="G31" i="2" s="1"/>
  <c r="G27" i="1"/>
  <c r="D30" i="9" l="1"/>
  <c r="D30" i="2"/>
  <c r="J30" i="9" l="1"/>
  <c r="H30" i="2"/>
  <c r="G36" i="1" l="1"/>
  <c r="L36" i="1" l="1"/>
  <c r="N37" i="1" l="1"/>
  <c r="N33" i="1"/>
  <c r="E37" i="1" s="1"/>
  <c r="B30" i="9" l="1"/>
  <c r="E30" i="9" s="1"/>
  <c r="K30" i="9" s="1"/>
  <c r="G30" i="9" s="1"/>
  <c r="I30" i="9" s="1"/>
  <c r="B30" i="2"/>
  <c r="E30" i="2" s="1"/>
  <c r="I30" i="2" s="1"/>
  <c r="G30" i="2" s="1"/>
  <c r="J36" i="1"/>
  <c r="J29" i="9" l="1"/>
  <c r="D29" i="9"/>
  <c r="H29" i="2"/>
  <c r="D29" i="2"/>
  <c r="G35" i="1"/>
  <c r="L35" i="1"/>
  <c r="J35" i="1"/>
  <c r="J34" i="1"/>
  <c r="J37" i="1" s="1"/>
  <c r="J32" i="1"/>
  <c r="J31" i="1"/>
  <c r="J30" i="1"/>
  <c r="J25" i="1"/>
  <c r="J24" i="1"/>
  <c r="J23" i="1"/>
  <c r="J21" i="1"/>
  <c r="J20" i="1"/>
  <c r="J19" i="1"/>
  <c r="J17" i="1"/>
  <c r="J16" i="1"/>
  <c r="B29" i="9"/>
  <c r="E29" i="9" s="1"/>
  <c r="K29" i="9" s="1"/>
  <c r="B29" i="2"/>
  <c r="E29" i="2" s="1"/>
  <c r="I29" i="2" s="1"/>
  <c r="G29" i="2" s="1"/>
  <c r="G29" i="9" l="1"/>
  <c r="I29" i="9" s="1"/>
  <c r="G34" i="1"/>
  <c r="G37" i="1" s="1"/>
  <c r="H37" i="1" s="1"/>
  <c r="M37" i="1" s="1"/>
  <c r="D28" i="9"/>
  <c r="J28" i="9"/>
  <c r="H28" i="2"/>
  <c r="D28" i="2"/>
  <c r="L34" i="1"/>
  <c r="L37" i="1" s="1"/>
  <c r="K37" i="1" l="1"/>
  <c r="B28" i="9"/>
  <c r="E28" i="9" s="1"/>
  <c r="K28" i="9" s="1"/>
  <c r="G28" i="9" s="1"/>
  <c r="I28" i="9" s="1"/>
  <c r="B28" i="2"/>
  <c r="E28" i="2" s="1"/>
  <c r="I28" i="2" s="1"/>
  <c r="G28" i="2" s="1"/>
  <c r="N26" i="1"/>
  <c r="F33" i="1"/>
  <c r="D27" i="9" l="1"/>
  <c r="D27" i="2"/>
  <c r="J27" i="9" l="1"/>
  <c r="H27" i="2"/>
  <c r="G32" i="1" l="1"/>
  <c r="L32" i="1" l="1"/>
  <c r="B27" i="9" l="1"/>
  <c r="E27" i="9" s="1"/>
  <c r="K27" i="9" s="1"/>
  <c r="G27" i="9" s="1"/>
  <c r="I27" i="9" s="1"/>
  <c r="B27" i="2"/>
  <c r="E27" i="2" s="1"/>
  <c r="I27" i="2" s="1"/>
  <c r="G27" i="2" s="1"/>
  <c r="D26" i="9"/>
  <c r="J26" i="9"/>
  <c r="H26" i="2"/>
  <c r="D26" i="2"/>
  <c r="L31" i="1" l="1"/>
  <c r="G31" i="1"/>
  <c r="B26" i="9" l="1"/>
  <c r="E26" i="9" s="1"/>
  <c r="K26" i="9" s="1"/>
  <c r="G26" i="9" s="1"/>
  <c r="I26" i="9" s="1"/>
  <c r="B26" i="2"/>
  <c r="E26" i="2" l="1"/>
  <c r="I26" i="2" s="1"/>
  <c r="G26" i="2" s="1"/>
  <c r="J23" i="9"/>
  <c r="H23" i="2"/>
  <c r="D23" i="9"/>
  <c r="D23" i="2"/>
  <c r="L27" i="1"/>
  <c r="H22" i="2"/>
  <c r="G30" i="1"/>
  <c r="G33" i="1" s="1"/>
  <c r="G39" i="1" s="1"/>
  <c r="L30" i="1"/>
  <c r="L33" i="1" s="1"/>
  <c r="L39" i="1" s="1"/>
  <c r="J22" i="9" l="1"/>
  <c r="D22" i="9"/>
  <c r="D22" i="2"/>
  <c r="E33" i="4" l="1"/>
  <c r="J33" i="1"/>
  <c r="J39" i="1" s="1"/>
  <c r="L6" i="9" l="1"/>
  <c r="J6" i="9"/>
  <c r="H23" i="9"/>
  <c r="D6" i="9"/>
  <c r="C23" i="9"/>
  <c r="B22" i="9"/>
  <c r="E22" i="9" s="1"/>
  <c r="K22" i="9" s="1"/>
  <c r="J6" i="2"/>
  <c r="B22" i="2"/>
  <c r="E22" i="2" s="1"/>
  <c r="I22" i="2" s="1"/>
  <c r="G22" i="2" s="1"/>
  <c r="C23" i="2"/>
  <c r="C6" i="2" s="1"/>
  <c r="C6" i="9" l="1"/>
  <c r="G22" i="9"/>
  <c r="I22" i="9" s="1"/>
  <c r="B46" i="6" l="1"/>
  <c r="B46" i="5"/>
  <c r="B45" i="4"/>
  <c r="B50" i="3"/>
  <c r="B34" i="9"/>
  <c r="B34" i="2"/>
  <c r="B42" i="1"/>
  <c r="D21" i="9" l="1"/>
  <c r="D21" i="2"/>
  <c r="G25" i="1" l="1"/>
  <c r="J21" i="9" l="1"/>
  <c r="H21" i="2"/>
  <c r="L25" i="1" l="1"/>
  <c r="F14" i="1" l="1"/>
  <c r="G33" i="4" l="1"/>
  <c r="F33" i="4"/>
  <c r="D33" i="4"/>
  <c r="C33" i="4"/>
  <c r="B33" i="4"/>
  <c r="E26" i="1"/>
  <c r="F27" i="1"/>
  <c r="E33" i="1"/>
  <c r="B21" i="2"/>
  <c r="E21" i="2" s="1"/>
  <c r="I21" i="2" s="1"/>
  <c r="G21" i="2" s="1"/>
  <c r="B21" i="9"/>
  <c r="E21" i="9" s="1"/>
  <c r="K21" i="9" s="1"/>
  <c r="H33" i="1" l="1"/>
  <c r="M33" i="1" s="1"/>
  <c r="F6" i="1"/>
  <c r="H27" i="1"/>
  <c r="N6" i="1"/>
  <c r="G21" i="9"/>
  <c r="J20" i="9"/>
  <c r="H20" i="2"/>
  <c r="K33" i="1" l="1"/>
  <c r="I21" i="9"/>
  <c r="D20" i="9"/>
  <c r="D20" i="2"/>
  <c r="G24" i="1" l="1"/>
  <c r="L24" i="1" l="1"/>
  <c r="B20" i="9" l="1"/>
  <c r="E20" i="9" s="1"/>
  <c r="K20" i="9" s="1"/>
  <c r="G20" i="9" s="1"/>
  <c r="I20" i="9" s="1"/>
  <c r="B20" i="2"/>
  <c r="E20" i="2" s="1"/>
  <c r="I20" i="2" s="1"/>
  <c r="G20" i="2" s="1"/>
  <c r="D45" i="3" l="1"/>
  <c r="H19" i="2" l="1"/>
  <c r="H18" i="2"/>
  <c r="H17" i="2"/>
  <c r="H16" i="2"/>
  <c r="H15" i="2"/>
  <c r="H14" i="2"/>
  <c r="H13" i="2"/>
  <c r="H12" i="2"/>
  <c r="H11" i="2"/>
  <c r="H6" i="2" s="1"/>
  <c r="D19" i="2"/>
  <c r="D18" i="2"/>
  <c r="D17" i="2"/>
  <c r="D16" i="2"/>
  <c r="D15" i="2"/>
  <c r="D14" i="2"/>
  <c r="D13" i="2"/>
  <c r="D12" i="2"/>
  <c r="D11" i="2"/>
  <c r="D6" i="2" l="1"/>
  <c r="D19" i="9"/>
  <c r="D18" i="9"/>
  <c r="D17" i="9"/>
  <c r="D16" i="9"/>
  <c r="D15" i="9"/>
  <c r="D14" i="9"/>
  <c r="D13" i="9"/>
  <c r="D12" i="9"/>
  <c r="D11" i="9"/>
  <c r="J19" i="9" l="1"/>
  <c r="J18" i="9"/>
  <c r="J17" i="9"/>
  <c r="J16" i="9"/>
  <c r="J15" i="9"/>
  <c r="J14" i="9"/>
  <c r="J13" i="9"/>
  <c r="J12" i="9"/>
  <c r="J11" i="9"/>
  <c r="G23" i="1" l="1"/>
  <c r="G26" i="1" s="1"/>
  <c r="G21" i="1"/>
  <c r="G20" i="1"/>
  <c r="G19" i="1"/>
  <c r="G17" i="1"/>
  <c r="G16" i="1"/>
  <c r="G15" i="1"/>
  <c r="G13" i="1"/>
  <c r="G12" i="1"/>
  <c r="G11" i="1"/>
  <c r="L23" i="1"/>
  <c r="L26" i="1" s="1"/>
  <c r="L21" i="1"/>
  <c r="L20" i="1"/>
  <c r="L19" i="1"/>
  <c r="L17" i="1"/>
  <c r="L16" i="1"/>
  <c r="L15" i="1"/>
  <c r="L13" i="1"/>
  <c r="L12" i="1"/>
  <c r="L11" i="1"/>
  <c r="H26" i="1" l="1"/>
  <c r="M26" i="1" s="1"/>
  <c r="J26" i="1"/>
  <c r="B19" i="9"/>
  <c r="E19" i="9" s="1"/>
  <c r="K19" i="9" s="1"/>
  <c r="G19" i="9" s="1"/>
  <c r="I19" i="9" s="1"/>
  <c r="B19" i="2"/>
  <c r="E19" i="2" s="1"/>
  <c r="I19" i="2" s="1"/>
  <c r="G19" i="2" s="1"/>
  <c r="K26" i="1" l="1"/>
  <c r="E22" i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5" i="3" l="1"/>
  <c r="H45" i="3" s="1"/>
  <c r="N45" i="3" s="1"/>
  <c r="L45" i="3" s="1"/>
  <c r="B32" i="3"/>
  <c r="E32" i="3" s="1"/>
  <c r="I32" i="3" s="1"/>
  <c r="G32" i="3" s="1"/>
  <c r="B20" i="3"/>
  <c r="E20" i="3" s="1"/>
  <c r="B7" i="3"/>
  <c r="E7" i="3" s="1"/>
  <c r="J7" i="3" s="1"/>
  <c r="I7" i="3" s="1"/>
  <c r="B7" i="9"/>
  <c r="E7" i="9" s="1"/>
  <c r="K7" i="9" s="1"/>
  <c r="G7" i="9" s="1"/>
  <c r="I7" i="9" s="1"/>
  <c r="B7" i="2"/>
  <c r="E7" i="2" s="1"/>
  <c r="I7" i="2" s="1"/>
  <c r="D7" i="1"/>
  <c r="B16" i="9"/>
  <c r="B16" i="2"/>
  <c r="E16" i="2" s="1"/>
  <c r="I16" i="2" s="1"/>
  <c r="L22" i="1"/>
  <c r="J22" i="1"/>
  <c r="G22" i="1"/>
  <c r="H22" i="1" s="1"/>
  <c r="G20" i="3" l="1"/>
  <c r="I20" i="3" s="1"/>
  <c r="H7" i="1"/>
  <c r="M7" i="1" s="1"/>
  <c r="K7" i="1" s="1"/>
  <c r="M22" i="1"/>
  <c r="K22" i="1" s="1"/>
  <c r="E16" i="9"/>
  <c r="K16" i="9" s="1"/>
  <c r="G16" i="9" s="1"/>
  <c r="I16" i="9" s="1"/>
  <c r="G16" i="2"/>
  <c r="B15" i="9"/>
  <c r="B15" i="2"/>
  <c r="E18" i="1"/>
  <c r="E15" i="9" l="1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6" i="9" s="1"/>
  <c r="E11" i="2"/>
  <c r="I11" i="2" s="1"/>
  <c r="E23" i="2"/>
  <c r="E6" i="2" s="1"/>
  <c r="G11" i="9" l="1"/>
  <c r="K23" i="9"/>
  <c r="G11" i="2"/>
  <c r="G23" i="2" s="1"/>
  <c r="G6" i="2" s="1"/>
  <c r="I23" i="2"/>
  <c r="I6" i="2" s="1"/>
  <c r="L14" i="1"/>
  <c r="G14" i="1"/>
  <c r="I11" i="9" l="1"/>
  <c r="I23" i="9" s="1"/>
  <c r="G23" i="9"/>
  <c r="G6" i="1"/>
  <c r="H14" i="1"/>
  <c r="M14" i="1" s="1"/>
  <c r="M27" i="1" s="1"/>
  <c r="J11" i="1"/>
  <c r="J14" i="1" s="1"/>
  <c r="J27" i="1" l="1"/>
  <c r="J6" i="1" s="1"/>
  <c r="K14" i="1"/>
  <c r="K27" i="1" s="1"/>
  <c r="D44" i="3" l="1"/>
  <c r="D6" i="1"/>
  <c r="K6" i="9" l="1"/>
  <c r="G6" i="9" s="1"/>
  <c r="I6" i="9" s="1"/>
  <c r="E6" i="3" l="1"/>
  <c r="J6" i="3" s="1"/>
  <c r="I6" i="3" s="1"/>
  <c r="E19" i="3"/>
  <c r="G19" i="3" s="1"/>
  <c r="I19" i="3" s="1"/>
  <c r="H44" i="3"/>
  <c r="N44" i="3" s="1"/>
  <c r="L44" i="3" s="1"/>
  <c r="E31" i="3" l="1"/>
  <c r="I31" i="3" s="1"/>
  <c r="G31" i="3" s="1"/>
  <c r="H6" i="1" l="1"/>
  <c r="M6" i="1" s="1"/>
  <c r="K6" i="1" s="1"/>
</calcChain>
</file>

<file path=xl/sharedStrings.xml><?xml version="1.0" encoding="utf-8"?>
<sst xmlns="http://schemas.openxmlformats.org/spreadsheetml/2006/main" count="623" uniqueCount="226">
  <si>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</si>
  <si>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</si>
  <si>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</si>
  <si>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</si>
  <si>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</si>
  <si>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</si>
  <si>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</si>
  <si>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</si>
  <si>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</si>
  <si>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</si>
  <si>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</si>
  <si>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</si>
  <si>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</si>
  <si>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</si>
  <si>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</si>
  <si>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</si>
  <si>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</si>
  <si>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</si>
  <si>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</si>
  <si>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</si>
  <si>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</si>
  <si>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</si>
  <si>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</si>
  <si>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</si>
  <si>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</si>
  <si>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</si>
  <si>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</si>
  <si>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</si>
  <si>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</si>
  <si>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</si>
  <si>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</si>
  <si>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</si>
  <si>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</si>
  <si>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</si>
  <si>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</si>
  <si>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</si>
  <si>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</si>
  <si>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2021/22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</si>
  <si>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</si>
  <si>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</si>
  <si>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</si>
  <si>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</si>
  <si>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</si>
  <si>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</si>
  <si>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</si>
  <si>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</si>
  <si>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</si>
  <si>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</si>
  <si>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</si>
  <si>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</si>
  <si>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</si>
  <si>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</si>
  <si>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</si>
  <si>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</si>
  <si>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</si>
  <si>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</si>
  <si>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</si>
  <si>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</si>
  <si>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</si>
  <si>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</si>
  <si>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</si>
  <si>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</si>
  <si>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</si>
  <si>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</si>
  <si>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</si>
  <si>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</si>
  <si>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</si>
  <si>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</si>
  <si>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</si>
  <si>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</si>
  <si>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</si>
  <si>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</si>
  <si>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</si>
  <si>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</si>
  <si>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</si>
  <si>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</si>
  <si>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</si>
  <si>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</si>
  <si>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</si>
  <si>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</si>
  <si>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</si>
  <si>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</si>
  <si>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</si>
  <si>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</si>
  <si>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</si>
  <si>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</si>
  <si>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</si>
  <si>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</si>
  <si>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</si>
  <si>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</si>
  <si>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</si>
  <si>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</si>
  <si>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</si>
  <si>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</si>
  <si>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</si>
  <si>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</si>
  <si>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</si>
  <si>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</si>
  <si>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</si>
  <si>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</si>
  <si>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</si>
  <si>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</si>
  <si>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</si>
  <si>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</si>
  <si>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</si>
  <si>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</si>
  <si>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</si>
  <si>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</si>
  <si>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</si>
  <si>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</si>
  <si>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</si>
  <si>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</si>
  <si>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</si>
  <si>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</si>
  <si>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</si>
  <si>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</si>
  <si>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</si>
  <si>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</si>
  <si>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</si>
  <si>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</si>
  <si>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</si>
  <si>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</si>
  <si>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</si>
  <si>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</si>
  <si>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</si>
  <si>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</si>
  <si>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</si>
  <si>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</si>
  <si>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</si>
  <si>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</si>
  <si>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</si>
  <si>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</si>
  <si>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</si>
  <si>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</si>
  <si>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</si>
  <si>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</si>
  <si>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</si>
  <si>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</si>
  <si>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</si>
  <si>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</si>
  <si>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</si>
  <si>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</si>
  <si>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</si>
  <si>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</si>
  <si>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</si>
  <si>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</si>
  <si>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</si>
  <si>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</si>
  <si>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Marketing year</t>
  </si>
  <si>
    <t>Date</t>
  </si>
  <si>
    <t>2023/24*</t>
  </si>
  <si>
    <t>May 2022</t>
  </si>
  <si>
    <t>Jun. 2022</t>
  </si>
  <si>
    <t>Jul. 2022</t>
  </si>
  <si>
    <t>Aug. 2022</t>
  </si>
  <si>
    <t>Sep. 2022</t>
  </si>
  <si>
    <t>Oct. 2022</t>
  </si>
  <si>
    <t>Nov. 2022</t>
  </si>
  <si>
    <t>Dec. 2022</t>
  </si>
  <si>
    <t>Jan. 2023</t>
  </si>
  <si>
    <t>Feb. 2023</t>
  </si>
  <si>
    <t>Domestic disappearance</t>
  </si>
  <si>
    <t>Oct. 2021</t>
  </si>
  <si>
    <t>Nov. 2021</t>
  </si>
  <si>
    <t>Dec. 2021</t>
  </si>
  <si>
    <t>Jan. 2022</t>
  </si>
  <si>
    <t>Feb. 2022</t>
  </si>
  <si>
    <t>Mar. 2022</t>
  </si>
  <si>
    <t>Apr. 2022</t>
  </si>
  <si>
    <t>Oct. 2020</t>
  </si>
  <si>
    <t>Nov. 2020</t>
  </si>
  <si>
    <t>Dec. 2020</t>
  </si>
  <si>
    <t>Jan. 2021</t>
  </si>
  <si>
    <t>Feb. 2021</t>
  </si>
  <si>
    <t>Mar. 2021</t>
  </si>
  <si>
    <t>Apr. 2021</t>
  </si>
  <si>
    <t>May 2021</t>
  </si>
  <si>
    <t>Jun. 2021</t>
  </si>
  <si>
    <t>Aug. 2021</t>
  </si>
  <si>
    <t>Sep. 2021</t>
  </si>
  <si>
    <t>Jul. 2021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</si>
  <si>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</si>
  <si>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</si>
  <si>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</si>
  <si>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</si>
  <si>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</si>
  <si>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Rest of the world</t>
  </si>
  <si>
    <r>
      <t>2023/24</t>
    </r>
    <r>
      <rPr>
        <vertAlign val="superscript"/>
        <sz val="11"/>
        <rFont val="Arial"/>
        <family val="2"/>
      </rPr>
      <t>2</t>
    </r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</si>
  <si>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</si>
  <si>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</si>
  <si>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7</t>
    </r>
  </si>
  <si>
    <t>Ending stocks</t>
  </si>
  <si>
    <t xml:space="preserve">Argentina                     </t>
  </si>
  <si>
    <t xml:space="preserve">Brazil                        </t>
  </si>
  <si>
    <t xml:space="preserve">United States                 </t>
  </si>
  <si>
    <t>World</t>
  </si>
  <si>
    <t>2022/23*</t>
  </si>
  <si>
    <t>Biofuel</t>
  </si>
  <si>
    <t>Food, feed, and other industrial use</t>
  </si>
  <si>
    <t>Soybean oil</t>
  </si>
  <si>
    <t>Canola oil</t>
  </si>
  <si>
    <t>Oct. 2019</t>
  </si>
  <si>
    <t>Nov. 2019</t>
  </si>
  <si>
    <t>Dec. 2019</t>
  </si>
  <si>
    <t>Jan. 2020</t>
  </si>
  <si>
    <t>Feb. 2020</t>
  </si>
  <si>
    <t>Mar. 2020</t>
  </si>
  <si>
    <t>Apr. 2020</t>
  </si>
  <si>
    <t>May 2020</t>
  </si>
  <si>
    <t>Jun. 2020</t>
  </si>
  <si>
    <t>Jul. 2020</t>
  </si>
  <si>
    <t>Aug. 2020</t>
  </si>
  <si>
    <t>Sep. 2020</t>
  </si>
  <si>
    <t>Mar. 2023</t>
  </si>
  <si>
    <t>Apr. 2023</t>
  </si>
  <si>
    <t>Demand</t>
  </si>
  <si>
    <t>Export price U.S. Dollars per Metric Ton</t>
  </si>
  <si>
    <t>Year Beg Oct 1</t>
  </si>
  <si>
    <t>2022 YTD</t>
  </si>
  <si>
    <t>Palm oil</t>
  </si>
  <si>
    <t>Rapeseed oil</t>
  </si>
  <si>
    <t>Sunflowerseed oil</t>
  </si>
  <si>
    <t>Soybeans, U.S. No. 2, CIF Rotterdam, NL</t>
  </si>
  <si>
    <t>Sunflowerseed, CIF Rotterdam, NL</t>
  </si>
  <si>
    <t>Rapeseed, CIF Hamburg, DE</t>
  </si>
  <si>
    <t>Other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</si>
</sst>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[$-409]mmm\-yy;@"/>
    <numFmt numFmtId="176" formatCode="#,##0.000_);\(#,##0.000\)"/>
    <numFmt numFmtId="177" formatCode="#,##0.000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9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40" fillId="0" borderId="0"/>
    <xf numFmtId="0" fontId="25" fillId="0" borderId="0"/>
    <xf numFmtId="0" fontId="24" fillId="0" borderId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4" fontId="26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43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8">
    <xf numFmtId="0" fontId="0" fillId="0" borderId="0" xfId="0"/>
    <xf numFmtId="0" fontId="27" fillId="0" borderId="0" xfId="8"/>
    <xf numFmtId="0" fontId="28" fillId="0" borderId="0" xfId="8" applyFont="1"/>
    <xf numFmtId="0" fontId="33" fillId="0" borderId="0" xfId="8" applyFont="1"/>
    <xf numFmtId="0" fontId="34" fillId="0" borderId="0" xfId="8" applyFont="1"/>
    <xf numFmtId="169" fontId="35" fillId="0" borderId="0" xfId="1" applyNumberFormat="1" applyFont="1" applyFill="1" applyBorder="1" applyAlignment="1">
      <alignment horizontal="center"/>
    </xf>
    <xf numFmtId="169" fontId="35" fillId="0" borderId="0" xfId="1" applyNumberFormat="1" applyFont="1" applyFill="1" applyBorder="1" applyAlignment="1">
      <alignment horizontal="right" indent="1"/>
    </xf>
    <xf numFmtId="0" fontId="41" fillId="0" borderId="0" xfId="7" applyFont="1" applyAlignment="1">
      <alignment horizontal="left"/>
    </xf>
    <xf numFmtId="0" fontId="42" fillId="0" borderId="0" xfId="5" applyFont="1" applyAlignment="1" applyProtection="1"/>
    <xf numFmtId="14" fontId="41" fillId="0" borderId="0" xfId="7" applyNumberFormat="1" applyFont="1" applyAlignment="1">
      <alignment horizontal="left"/>
    </xf>
    <xf numFmtId="0" fontId="42" fillId="0" borderId="0" xfId="4" applyFont="1" applyAlignment="1" applyProtection="1"/>
    <xf numFmtId="0" fontId="35" fillId="0" borderId="0" xfId="7" quotePrefix="1" applyFont="1" applyAlignment="1">
      <alignment horizontal="left"/>
    </xf>
    <xf numFmtId="0" fontId="35" fillId="0" borderId="0" xfId="8" applyFont="1" applyAlignment="1">
      <alignment wrapText="1"/>
    </xf>
    <xf numFmtId="169" fontId="35" fillId="0" borderId="0" xfId="1" applyNumberFormat="1" applyFont="1" applyFill="1" applyBorder="1" applyAlignment="1">
      <alignment horizontal="right"/>
    </xf>
    <xf numFmtId="2" fontId="35" fillId="0" borderId="1" xfId="0" applyNumberFormat="1" applyFont="1" applyBorder="1" applyAlignment="1">
      <alignment horizontal="right" indent="2"/>
    </xf>
    <xf numFmtId="0" fontId="35" fillId="0" borderId="1" xfId="0" applyFont="1" applyBorder="1"/>
    <xf numFmtId="0" fontId="35" fillId="0" borderId="0" xfId="0" applyFont="1"/>
    <xf numFmtId="0" fontId="35" fillId="0" borderId="2" xfId="0" applyFont="1" applyBorder="1" applyAlignment="1">
      <alignment horizontal="right"/>
    </xf>
    <xf numFmtId="0" fontId="35" fillId="0" borderId="0" xfId="0" applyFont="1" applyAlignment="1">
      <alignment horizontal="center"/>
    </xf>
    <xf numFmtId="0" fontId="0" fillId="0" borderId="2" xfId="0" applyBorder="1"/>
    <xf numFmtId="0" fontId="35" fillId="0" borderId="2" xfId="0" applyFont="1" applyBorder="1" applyAlignment="1">
      <alignment horizontal="left"/>
    </xf>
    <xf numFmtId="0" fontId="35" fillId="0" borderId="0" xfId="0" applyFont="1" applyAlignment="1">
      <alignment horizontal="right"/>
    </xf>
    <xf numFmtId="16" fontId="35" fillId="0" borderId="1" xfId="0" quotePrefix="1" applyNumberFormat="1" applyFont="1" applyBorder="1"/>
    <xf numFmtId="16" fontId="35" fillId="0" borderId="1" xfId="0" applyNumberFormat="1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right"/>
    </xf>
    <xf numFmtId="0" fontId="35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36" fillId="0" borderId="3" xfId="0" quotePrefix="1" applyFont="1" applyBorder="1" applyAlignment="1">
      <alignment horizontal="center"/>
    </xf>
    <xf numFmtId="0" fontId="36" fillId="0" borderId="0" xfId="0" quotePrefix="1" applyFont="1" applyAlignment="1">
      <alignment horizontal="right"/>
    </xf>
    <xf numFmtId="167" fontId="35" fillId="0" borderId="0" xfId="0" applyNumberFormat="1" applyFont="1" applyAlignment="1">
      <alignment horizontal="center"/>
    </xf>
    <xf numFmtId="165" fontId="35" fillId="0" borderId="0" xfId="1" applyNumberFormat="1" applyFont="1" applyFill="1" applyAlignment="1">
      <alignment horizontal="left"/>
    </xf>
    <xf numFmtId="165" fontId="35" fillId="0" borderId="0" xfId="1" applyNumberFormat="1" applyFont="1" applyFill="1" applyAlignment="1">
      <alignment horizontal="center"/>
    </xf>
    <xf numFmtId="3" fontId="35" fillId="0" borderId="0" xfId="1" applyNumberFormat="1" applyFont="1" applyFill="1" applyBorder="1" applyAlignment="1">
      <alignment horizontal="right" indent="1"/>
    </xf>
    <xf numFmtId="164" fontId="35" fillId="0" borderId="0" xfId="1" applyNumberFormat="1" applyFont="1" applyFill="1" applyBorder="1"/>
    <xf numFmtId="164" fontId="35" fillId="0" borderId="0" xfId="1" applyNumberFormat="1" applyFont="1" applyFill="1" applyBorder="1" applyAlignment="1">
      <alignment horizontal="right"/>
    </xf>
    <xf numFmtId="0" fontId="41" fillId="0" borderId="0" xfId="0" applyFont="1"/>
    <xf numFmtId="169" fontId="35" fillId="0" borderId="0" xfId="1" quotePrefix="1" applyNumberFormat="1" applyFont="1" applyFill="1" applyBorder="1" applyAlignment="1">
      <alignment horizontal="right"/>
    </xf>
    <xf numFmtId="164" fontId="35" fillId="0" borderId="0" xfId="1" applyNumberFormat="1" applyFont="1" applyFill="1" applyBorder="1" applyAlignment="1">
      <alignment horizontal="center"/>
    </xf>
    <xf numFmtId="164" fontId="35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9" fontId="35" fillId="0" borderId="1" xfId="1" applyNumberFormat="1" applyFont="1" applyFill="1" applyBorder="1" applyAlignment="1">
      <alignment horizontal="right" indent="1"/>
    </xf>
    <xf numFmtId="164" fontId="35" fillId="0" borderId="0" xfId="1" applyNumberFormat="1" applyFont="1" applyFill="1"/>
    <xf numFmtId="14" fontId="35" fillId="0" borderId="0" xfId="0" applyNumberFormat="1" applyFont="1" applyAlignment="1">
      <alignment horizontal="left"/>
    </xf>
    <xf numFmtId="3" fontId="35" fillId="0" borderId="0" xfId="1" applyNumberFormat="1" applyFont="1" applyFill="1" applyAlignment="1">
      <alignment horizontal="right" indent="2"/>
    </xf>
    <xf numFmtId="3" fontId="35" fillId="0" borderId="0" xfId="1" applyNumberFormat="1" applyFont="1" applyFill="1" applyAlignment="1">
      <alignment horizontal="right" indent="1"/>
    </xf>
    <xf numFmtId="3" fontId="35" fillId="0" borderId="0" xfId="1" applyNumberFormat="1" applyFont="1" applyFill="1" applyAlignment="1">
      <alignment horizontal="center"/>
    </xf>
    <xf numFmtId="169" fontId="35" fillId="0" borderId="0" xfId="1" applyNumberFormat="1" applyFont="1" applyFill="1" applyBorder="1" applyAlignment="1">
      <alignment horizontal="right" indent="2"/>
    </xf>
    <xf numFmtId="169" fontId="35" fillId="0" borderId="1" xfId="1" applyNumberFormat="1" applyFont="1" applyFill="1" applyBorder="1" applyAlignment="1">
      <alignment horizontal="right" indent="2"/>
    </xf>
    <xf numFmtId="0" fontId="37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35" fillId="0" borderId="1" xfId="1" applyNumberFormat="1" applyFont="1" applyFill="1" applyBorder="1" applyAlignment="1">
      <alignment horizontal="center"/>
    </xf>
    <xf numFmtId="165" fontId="35" fillId="0" borderId="1" xfId="1" applyNumberFormat="1" applyFont="1" applyFill="1" applyBorder="1" applyAlignment="1">
      <alignment horizontal="right"/>
    </xf>
    <xf numFmtId="16" fontId="35" fillId="0" borderId="0" xfId="0" applyNumberFormat="1" applyFont="1"/>
    <xf numFmtId="0" fontId="36" fillId="0" borderId="0" xfId="0" applyFont="1" applyAlignment="1">
      <alignment horizontal="center"/>
    </xf>
    <xf numFmtId="2" fontId="35" fillId="0" borderId="0" xfId="0" applyNumberFormat="1" applyFont="1" applyAlignment="1">
      <alignment horizontal="right" indent="2"/>
    </xf>
    <xf numFmtId="170" fontId="35" fillId="0" borderId="0" xfId="0" applyNumberFormat="1" applyFont="1"/>
    <xf numFmtId="43" fontId="35" fillId="0" borderId="0" xfId="1" quotePrefix="1" applyFont="1" applyFill="1" applyBorder="1" applyAlignment="1">
      <alignment horizontal="center"/>
    </xf>
    <xf numFmtId="166" fontId="35" fillId="0" borderId="0" xfId="1" quotePrefix="1" applyNumberFormat="1" applyFont="1" applyFill="1" applyBorder="1" applyAlignment="1">
      <alignment horizontal="center"/>
    </xf>
    <xf numFmtId="43" fontId="35" fillId="0" borderId="0" xfId="1" applyFont="1" applyFill="1" applyBorder="1" applyAlignment="1">
      <alignment horizontal="center"/>
    </xf>
    <xf numFmtId="0" fontId="41" fillId="0" borderId="0" xfId="0" quotePrefix="1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indent="1"/>
    </xf>
    <xf numFmtId="0" fontId="35" fillId="0" borderId="3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36" fillId="0" borderId="3" xfId="0" quotePrefix="1" applyFont="1" applyBorder="1"/>
    <xf numFmtId="0" fontId="36" fillId="0" borderId="3" xfId="0" applyFont="1" applyBorder="1"/>
    <xf numFmtId="43" fontId="35" fillId="0" borderId="0" xfId="1" applyFont="1" applyFill="1" applyBorder="1"/>
    <xf numFmtId="2" fontId="35" fillId="0" borderId="0" xfId="0" applyNumberFormat="1" applyFont="1" applyAlignment="1">
      <alignment horizontal="center"/>
    </xf>
    <xf numFmtId="43" fontId="35" fillId="0" borderId="0" xfId="0" applyNumberFormat="1" applyFont="1"/>
    <xf numFmtId="0" fontId="30" fillId="0" borderId="0" xfId="0" applyFont="1"/>
    <xf numFmtId="2" fontId="0" fillId="0" borderId="0" xfId="0" applyNumberFormat="1"/>
    <xf numFmtId="165" fontId="35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39" fillId="0" borderId="0" xfId="0" applyFont="1" applyAlignment="1">
      <alignment vertical="center"/>
    </xf>
    <xf numFmtId="168" fontId="35" fillId="0" borderId="0" xfId="0" applyNumberFormat="1" applyFont="1"/>
    <xf numFmtId="2" fontId="35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35" fillId="0" borderId="3" xfId="0" applyFont="1" applyBorder="1"/>
    <xf numFmtId="165" fontId="35" fillId="0" borderId="0" xfId="1" applyNumberFormat="1" applyFont="1" applyFill="1"/>
    <xf numFmtId="37" fontId="35" fillId="0" borderId="0" xfId="1" applyNumberFormat="1" applyFont="1" applyFill="1" applyBorder="1" applyAlignment="1">
      <alignment horizontal="center"/>
    </xf>
    <xf numFmtId="37" fontId="35" fillId="0" borderId="0" xfId="1" applyNumberFormat="1" applyFont="1" applyFill="1" applyBorder="1" applyAlignment="1">
      <alignment horizontal="right" indent="2"/>
    </xf>
    <xf numFmtId="165" fontId="35" fillId="0" borderId="0" xfId="1" applyNumberFormat="1" applyFont="1" applyFill="1" applyBorder="1"/>
    <xf numFmtId="37" fontId="35" fillId="0" borderId="0" xfId="1" applyNumberFormat="1" applyFont="1" applyFill="1" applyBorder="1" applyAlignment="1">
      <alignment horizontal="right" indent="1"/>
    </xf>
    <xf numFmtId="37" fontId="35" fillId="0" borderId="1" xfId="1" applyNumberFormat="1" applyFont="1" applyFill="1" applyBorder="1" applyAlignment="1">
      <alignment horizontal="center"/>
    </xf>
    <xf numFmtId="37" fontId="35" fillId="0" borderId="1" xfId="1" applyNumberFormat="1" applyFont="1" applyFill="1" applyBorder="1" applyAlignment="1">
      <alignment horizontal="right" indent="2"/>
    </xf>
    <xf numFmtId="165" fontId="35" fillId="0" borderId="1" xfId="1" applyNumberFormat="1" applyFont="1" applyFill="1" applyBorder="1"/>
    <xf numFmtId="37" fontId="35" fillId="0" borderId="1" xfId="1" applyNumberFormat="1" applyFont="1" applyFill="1" applyBorder="1" applyAlignment="1">
      <alignment horizontal="right" indent="1"/>
    </xf>
    <xf numFmtId="9" fontId="35" fillId="0" borderId="0" xfId="12" applyFont="1" applyFill="1"/>
    <xf numFmtId="1" fontId="35" fillId="0" borderId="0" xfId="0" applyNumberFormat="1" applyFont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14" fontId="35" fillId="0" borderId="0" xfId="0" applyNumberFormat="1" applyFont="1" applyAlignment="1">
      <alignment horizontal="right" inden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3" fontId="0" fillId="0" borderId="0" xfId="0" applyNumberFormat="1"/>
    <xf numFmtId="169" fontId="35" fillId="0" borderId="0" xfId="1" applyNumberFormat="1" applyFont="1" applyFill="1" applyAlignment="1">
      <alignment horizontal="center"/>
    </xf>
    <xf numFmtId="0" fontId="37" fillId="0" borderId="3" xfId="0" applyFont="1" applyBorder="1"/>
    <xf numFmtId="164" fontId="35" fillId="0" borderId="3" xfId="0" applyNumberFormat="1" applyFont="1" applyBorder="1"/>
    <xf numFmtId="43" fontId="35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26" fillId="0" borderId="0" xfId="8" applyFont="1"/>
    <xf numFmtId="0" fontId="26" fillId="0" borderId="0" xfId="0" applyFont="1"/>
    <xf numFmtId="4" fontId="44" fillId="0" borderId="0" xfId="0" applyNumberFormat="1" applyFont="1"/>
    <xf numFmtId="0" fontId="26" fillId="0" borderId="0" xfId="0" applyFont="1" applyAlignment="1">
      <alignment horizontal="right"/>
    </xf>
    <xf numFmtId="2" fontId="26" fillId="0" borderId="0" xfId="0" applyNumberFormat="1" applyFont="1" applyAlignment="1">
      <alignment horizontal="right"/>
    </xf>
    <xf numFmtId="172" fontId="30" fillId="0" borderId="0" xfId="12" applyNumberFormat="1" applyFont="1" applyFill="1"/>
    <xf numFmtId="4" fontId="0" fillId="0" borderId="0" xfId="0" applyNumberFormat="1"/>
    <xf numFmtId="169" fontId="35" fillId="0" borderId="0" xfId="1" applyNumberFormat="1" applyFont="1" applyBorder="1" applyAlignment="1">
      <alignment horizontal="right" indent="1"/>
    </xf>
    <xf numFmtId="0" fontId="26" fillId="0" borderId="0" xfId="20"/>
    <xf numFmtId="37" fontId="0" fillId="0" borderId="0" xfId="0" applyNumberFormat="1"/>
    <xf numFmtId="173" fontId="44" fillId="0" borderId="0" xfId="0" applyNumberFormat="1" applyFont="1"/>
    <xf numFmtId="174" fontId="35" fillId="0" borderId="0" xfId="1" applyNumberFormat="1" applyFont="1" applyFill="1" applyBorder="1" applyAlignment="1">
      <alignment horizontal="right" indent="2"/>
    </xf>
    <xf numFmtId="0" fontId="45" fillId="0" borderId="0" xfId="44" applyFont="1" applyAlignment="1">
      <alignment horizontal="center"/>
    </xf>
    <xf numFmtId="164" fontId="35" fillId="2" borderId="0" xfId="1" applyNumberFormat="1" applyFont="1" applyFill="1" applyBorder="1" applyAlignment="1">
      <alignment horizontal="center"/>
    </xf>
    <xf numFmtId="0" fontId="46" fillId="0" borderId="1" xfId="46" applyFont="1" applyBorder="1" applyAlignment="1">
      <alignment horizontal="center" wrapText="1"/>
    </xf>
    <xf numFmtId="0" fontId="45" fillId="0" borderId="0" xfId="46" applyFont="1" applyAlignment="1">
      <alignment horizontal="center"/>
    </xf>
    <xf numFmtId="2" fontId="35" fillId="0" borderId="1" xfId="0" applyNumberFormat="1" applyFont="1" applyBorder="1" applyAlignment="1">
      <alignment horizontal="center"/>
    </xf>
    <xf numFmtId="2" fontId="43" fillId="0" borderId="0" xfId="0" applyNumberFormat="1" applyFont="1" applyAlignment="1">
      <alignment horizontal="center"/>
    </xf>
    <xf numFmtId="2" fontId="43" fillId="0" borderId="1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45" fillId="0" borderId="0" xfId="46" applyFont="1" applyAlignment="1">
      <alignment horizontal="center" wrapText="1"/>
    </xf>
    <xf numFmtId="37" fontId="47" fillId="0" borderId="0" xfId="1" applyNumberFormat="1" applyFont="1" applyFill="1" applyAlignment="1">
      <alignment horizontal="right"/>
    </xf>
    <xf numFmtId="0" fontId="33" fillId="0" borderId="1" xfId="20" applyFont="1" applyBorder="1" applyAlignment="1">
      <alignment horizontal="centerContinuous"/>
    </xf>
    <xf numFmtId="0" fontId="48" fillId="0" borderId="0" xfId="0" applyFont="1"/>
    <xf numFmtId="174" fontId="47" fillId="0" borderId="0" xfId="1" applyNumberFormat="1" applyFont="1" applyFill="1" applyAlignment="1">
      <alignment horizontal="right"/>
    </xf>
    <xf numFmtId="2" fontId="43" fillId="0" borderId="0" xfId="0" applyNumberFormat="1" applyFont="1" applyAlignment="1">
      <alignment horizontal="right" indent="2"/>
    </xf>
    <xf numFmtId="0" fontId="0" fillId="0" borderId="0" xfId="20" applyFont="1"/>
    <xf numFmtId="0" fontId="0" fillId="0" borderId="1" xfId="20" applyFont="1" applyBorder="1" applyAlignment="1">
      <alignment horizontal="centerContinuous"/>
    </xf>
    <xf numFmtId="175" fontId="0" fillId="0" borderId="0" xfId="0" applyNumberFormat="1"/>
    <xf numFmtId="0" fontId="26" fillId="0" borderId="1" xfId="0" applyFont="1" applyBorder="1" applyAlignment="1">
      <alignment wrapText="1"/>
    </xf>
    <xf numFmtId="1" fontId="0" fillId="0" borderId="0" xfId="0" applyNumberFormat="1"/>
    <xf numFmtId="1" fontId="0" fillId="0" borderId="0" xfId="20" applyNumberFormat="1" applyFont="1"/>
    <xf numFmtId="172" fontId="0" fillId="0" borderId="0" xfId="12" applyNumberFormat="1" applyFont="1"/>
    <xf numFmtId="39" fontId="47" fillId="0" borderId="0" xfId="1" applyNumberFormat="1" applyFont="1" applyFill="1" applyAlignment="1">
      <alignment horizontal="right"/>
    </xf>
    <xf numFmtId="39" fontId="47" fillId="0" borderId="0" xfId="1" applyNumberFormat="1" applyFont="1" applyFill="1"/>
    <xf numFmtId="39" fontId="26" fillId="0" borderId="0" xfId="20" applyNumberFormat="1"/>
    <xf numFmtId="0" fontId="0" fillId="0" borderId="0" xfId="0" quotePrefix="1"/>
    <xf numFmtId="0" fontId="33" fillId="0" borderId="0" xfId="20" applyFont="1" applyAlignment="1">
      <alignment wrapText="1"/>
    </xf>
    <xf numFmtId="14" fontId="0" fillId="0" borderId="0" xfId="20" applyNumberFormat="1" applyFont="1"/>
    <xf numFmtId="3" fontId="0" fillId="0" borderId="0" xfId="20" applyNumberFormat="1" applyFont="1" applyAlignment="1">
      <alignment horizontal="left"/>
    </xf>
    <xf numFmtId="165" fontId="0" fillId="0" borderId="0" xfId="20" applyNumberFormat="1" applyFont="1"/>
    <xf numFmtId="14" fontId="0" fillId="0" borderId="0" xfId="20" applyNumberFormat="1" applyFont="1" applyAlignment="1">
      <alignment horizontal="right"/>
    </xf>
    <xf numFmtId="169" fontId="43" fillId="0" borderId="0" xfId="1" applyNumberFormat="1" applyFont="1" applyFill="1" applyBorder="1" applyAlignment="1">
      <alignment horizontal="right"/>
    </xf>
    <xf numFmtId="0" fontId="33" fillId="0" borderId="0" xfId="20" applyFont="1"/>
    <xf numFmtId="39" fontId="47" fillId="0" borderId="0" xfId="1" applyNumberFormat="1" applyFont="1" applyFill="1" applyBorder="1" applyAlignment="1">
      <alignment horizontal="right"/>
    </xf>
    <xf numFmtId="176" fontId="26" fillId="0" borderId="0" xfId="20" applyNumberFormat="1"/>
    <xf numFmtId="170" fontId="0" fillId="0" borderId="0" xfId="0" applyNumberFormat="1"/>
    <xf numFmtId="177" fontId="44" fillId="0" borderId="0" xfId="0" applyNumberFormat="1" applyFont="1"/>
    <xf numFmtId="37" fontId="47" fillId="0" borderId="0" xfId="1" applyNumberFormat="1" applyFont="1" applyFill="1"/>
    <xf numFmtId="37" fontId="26" fillId="0" borderId="0" xfId="20" applyNumberFormat="1"/>
    <xf numFmtId="177" fontId="0" fillId="0" borderId="0" xfId="0" applyNumberFormat="1"/>
    <xf numFmtId="0" fontId="33" fillId="0" borderId="1" xfId="20" applyFont="1" applyBorder="1" applyAlignment="1">
      <alignment wrapText="1"/>
    </xf>
    <xf numFmtId="3" fontId="0" fillId="0" borderId="0" xfId="20" applyNumberFormat="1" applyFont="1"/>
    <xf numFmtId="0" fontId="45" fillId="0" borderId="0" xfId="0" applyFont="1"/>
    <xf numFmtId="0" fontId="46" fillId="0" borderId="1" xfId="51" applyFont="1" applyBorder="1" applyAlignment="1">
      <alignment horizontal="center" wrapText="1"/>
    </xf>
    <xf numFmtId="0" fontId="35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2" xfId="0" quotePrefix="1" applyFont="1" applyBorder="1" applyAlignment="1">
      <alignment horizontal="center"/>
    </xf>
    <xf numFmtId="0" fontId="36" fillId="0" borderId="5" xfId="0" quotePrefix="1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5" xfId="0" applyFont="1" applyBorder="1" applyAlignment="1">
      <alignment horizontal="center"/>
    </xf>
  </cellXfs>
  <cellStyles count="52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10" xfId="48" xr:uid="{B0B7CAAA-7091-450F-85C9-52BED8D28969}"/>
    <cellStyle name="Normal 11 2" xfId="30" xr:uid="{75FDC25E-C28E-497B-82EF-A28CA2584098}"/>
    <cellStyle name="Normal 11 2 2" xfId="40" xr:uid="{AF392839-9EFD-46E7-9522-B670F46A3E86}"/>
    <cellStyle name="Normal 11 3" xfId="32" xr:uid="{5440E113-77DF-4DAD-9026-4858CCB03DB9}"/>
    <cellStyle name="Normal 11 3 2" xfId="43" xr:uid="{8321DB1C-E877-443D-8A22-A2E591665B83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B050"/>
      <color rgb="FFC0504D"/>
      <color rgb="FFFFFF00"/>
      <color rgb="FFC0502F"/>
      <color rgb="FFD99694"/>
      <color rgb="FFFFCF01"/>
      <color rgb="FF0000FF"/>
      <color rgb="FFFA6400"/>
      <color rgb="FFFB0BCD"/>
      <color rgb="FFBE4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Global soybean production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6607299087614"/>
          <c:y val="0.17628667233929823"/>
          <c:w val="0.83489876265466811"/>
          <c:h val="0.515443267433297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1'!$D$1</c:f>
              <c:strCache>
                <c:ptCount val="1"/>
                <c:pt idx="0">
                  <c:v>Argentina                    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'Figure 1'!$A$2:$A$14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1'!$D$2:$D$14</c:f>
              <c:numCache>
                <c:formatCode>#,##0_);\(#,##0\)</c:formatCode>
                <c:ptCount val="13"/>
                <c:pt idx="0">
                  <c:v>40.1</c:v>
                </c:pt>
                <c:pt idx="1">
                  <c:v>49.3</c:v>
                </c:pt>
                <c:pt idx="2">
                  <c:v>53.4</c:v>
                </c:pt>
                <c:pt idx="3">
                  <c:v>61.45</c:v>
                </c:pt>
                <c:pt idx="4">
                  <c:v>58.8</c:v>
                </c:pt>
                <c:pt idx="5">
                  <c:v>55</c:v>
                </c:pt>
                <c:pt idx="6">
                  <c:v>37.799999999999997</c:v>
                </c:pt>
                <c:pt idx="7">
                  <c:v>55.3</c:v>
                </c:pt>
                <c:pt idx="8">
                  <c:v>48.8</c:v>
                </c:pt>
                <c:pt idx="9">
                  <c:v>46.2</c:v>
                </c:pt>
                <c:pt idx="10">
                  <c:v>43.9</c:v>
                </c:pt>
                <c:pt idx="11">
                  <c:v>27</c:v>
                </c:pt>
                <c:pt idx="1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4-4A7C-A1EF-85C83F859EA4}"/>
            </c:ext>
          </c:extLst>
        </c:ser>
        <c:ser>
          <c:idx val="2"/>
          <c:order val="1"/>
          <c:tx>
            <c:strRef>
              <c:f>'Figure 1'!$B$1</c:f>
              <c:strCache>
                <c:ptCount val="1"/>
                <c:pt idx="0">
                  <c:v>Brazil                       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1'!$B$2:$B$14</c:f>
              <c:numCache>
                <c:formatCode>#,##0_);\(#,##0\)</c:formatCode>
                <c:ptCount val="13"/>
                <c:pt idx="0">
                  <c:v>66.5</c:v>
                </c:pt>
                <c:pt idx="1">
                  <c:v>82</c:v>
                </c:pt>
                <c:pt idx="2">
                  <c:v>86.2</c:v>
                </c:pt>
                <c:pt idx="3">
                  <c:v>97.1</c:v>
                </c:pt>
                <c:pt idx="4">
                  <c:v>95.7</c:v>
                </c:pt>
                <c:pt idx="5">
                  <c:v>114.9</c:v>
                </c:pt>
                <c:pt idx="6">
                  <c:v>123.4</c:v>
                </c:pt>
                <c:pt idx="7">
                  <c:v>120.5</c:v>
                </c:pt>
                <c:pt idx="8">
                  <c:v>128.5</c:v>
                </c:pt>
                <c:pt idx="9">
                  <c:v>139.5</c:v>
                </c:pt>
                <c:pt idx="10">
                  <c:v>130.5</c:v>
                </c:pt>
                <c:pt idx="11">
                  <c:v>155</c:v>
                </c:pt>
                <c:pt idx="12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4-4A7C-A1EF-85C83F859EA4}"/>
            </c:ext>
          </c:extLst>
        </c:ser>
        <c:ser>
          <c:idx val="5"/>
          <c:order val="2"/>
          <c:tx>
            <c:strRef>
              <c:f>'Figure 1'!$C$1</c:f>
              <c:strCache>
                <c:ptCount val="1"/>
                <c:pt idx="0">
                  <c:v>United States               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1'!$A$2:$A$14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1'!$C$2:$C$14</c:f>
              <c:numCache>
                <c:formatCode>#,##0_);\(#,##0\)</c:formatCode>
                <c:ptCount val="13"/>
                <c:pt idx="0">
                  <c:v>84.290999999999997</c:v>
                </c:pt>
                <c:pt idx="1">
                  <c:v>82.790999999999997</c:v>
                </c:pt>
                <c:pt idx="2">
                  <c:v>91.363</c:v>
                </c:pt>
                <c:pt idx="3">
                  <c:v>106.905</c:v>
                </c:pt>
                <c:pt idx="4">
                  <c:v>106.869</c:v>
                </c:pt>
                <c:pt idx="5">
                  <c:v>116.931</c:v>
                </c:pt>
                <c:pt idx="6">
                  <c:v>120.065</c:v>
                </c:pt>
                <c:pt idx="7">
                  <c:v>120.515</c:v>
                </c:pt>
                <c:pt idx="8">
                  <c:v>96.667000000000002</c:v>
                </c:pt>
                <c:pt idx="9">
                  <c:v>114.749</c:v>
                </c:pt>
                <c:pt idx="10">
                  <c:v>121.52800000000001</c:v>
                </c:pt>
                <c:pt idx="11">
                  <c:v>116.377</c:v>
                </c:pt>
                <c:pt idx="12">
                  <c:v>122.742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4-4A7C-A1EF-85C83F859EA4}"/>
            </c:ext>
          </c:extLst>
        </c:ser>
        <c:ser>
          <c:idx val="3"/>
          <c:order val="3"/>
          <c:tx>
            <c:strRef>
              <c:f>'Figure 1'!$E$1</c:f>
              <c:strCache>
                <c:ptCount val="1"/>
                <c:pt idx="0">
                  <c:v>Rest of the world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1'!$E$2:$E$14</c:f>
              <c:numCache>
                <c:formatCode>#,##0_);\(#,##0\)</c:formatCode>
                <c:ptCount val="13"/>
                <c:pt idx="0">
                  <c:v>50.134</c:v>
                </c:pt>
                <c:pt idx="1">
                  <c:v>54.731999999999999</c:v>
                </c:pt>
                <c:pt idx="2">
                  <c:v>52.276000000000003</c:v>
                </c:pt>
                <c:pt idx="3">
                  <c:v>55.793000000000006</c:v>
                </c:pt>
                <c:pt idx="4">
                  <c:v>54.463999999999999</c:v>
                </c:pt>
                <c:pt idx="5">
                  <c:v>63.727000000000004</c:v>
                </c:pt>
                <c:pt idx="6">
                  <c:v>62.210999999999999</c:v>
                </c:pt>
                <c:pt idx="7">
                  <c:v>66.7</c:v>
                </c:pt>
                <c:pt idx="8">
                  <c:v>66.929000000000002</c:v>
                </c:pt>
                <c:pt idx="9">
                  <c:v>68.147000000000006</c:v>
                </c:pt>
                <c:pt idx="10">
                  <c:v>63.917999999999999</c:v>
                </c:pt>
                <c:pt idx="11">
                  <c:v>72.043999999999997</c:v>
                </c:pt>
                <c:pt idx="12">
                  <c:v>76.843000000000004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44-4A7C-A1EF-85C83F859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7710036245469317"/>
              <c:y val="0.82509376399261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4726909136365E-3"/>
              <c:y val="6.85410119699163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569902494072299"/>
          <c:y val="9.7453476391843111E-2"/>
          <c:w val="0.80040574638315143"/>
          <c:h val="7.559441632152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harvested acreage and yield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279561208691E-3"/>
          <c:y val="6.28915638418760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79994456138525E-2"/>
          <c:y val="0.15821728912575725"/>
          <c:w val="0.8749493689526433"/>
          <c:h val="0.52307395399104528"/>
        </c:manualLayout>
      </c:layout>
      <c:areaChart>
        <c:grouping val="stacked"/>
        <c:varyColors val="0"/>
        <c:ser>
          <c:idx val="2"/>
          <c:order val="2"/>
          <c:tx>
            <c:strRef>
              <c:f>'Figure 2'!$C$1</c:f>
              <c:strCache>
                <c:ptCount val="1"/>
                <c:pt idx="0">
                  <c:v>Demand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2'!$C$2:$C$11</c:f>
              <c:numCache>
                <c:formatCode>#,##0</c:formatCode>
                <c:ptCount val="10"/>
                <c:pt idx="0">
                  <c:v>3862.6756843585472</c:v>
                </c:pt>
                <c:pt idx="1">
                  <c:v>3944.2009162439076</c:v>
                </c:pt>
                <c:pt idx="2">
                  <c:v>4213.9107172106051</c:v>
                </c:pt>
                <c:pt idx="3">
                  <c:v>4296.9335006007277</c:v>
                </c:pt>
                <c:pt idx="4">
                  <c:v>3971.26028009634</c:v>
                </c:pt>
                <c:pt idx="5">
                  <c:v>3951.7995056159771</c:v>
                </c:pt>
                <c:pt idx="6">
                  <c:v>4503.6789864362345</c:v>
                </c:pt>
                <c:pt idx="7">
                  <c:v>4463.8770486205594</c:v>
                </c:pt>
                <c:pt idx="8">
                  <c:v>4355.2779795298602</c:v>
                </c:pt>
                <c:pt idx="9">
                  <c:v>4410.5610361019117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FE-4A92-9B76-3FB11C93F67E}"/>
            </c:ext>
          </c:extLst>
        </c:ser>
        <c:ser>
          <c:idx val="3"/>
          <c:order val="3"/>
          <c:tx>
            <c:strRef>
              <c:f>'Figure 2'!$D$1</c:f>
              <c:strCache>
                <c:ptCount val="1"/>
                <c:pt idx="0">
                  <c:v>Ending stocks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2'!$D$2:$D$11</c:f>
              <c:numCache>
                <c:formatCode>#,##0</c:formatCode>
                <c:ptCount val="10"/>
                <c:pt idx="0">
                  <c:v>190.61</c:v>
                </c:pt>
                <c:pt idx="1">
                  <c:v>196.72900000000001</c:v>
                </c:pt>
                <c:pt idx="2">
                  <c:v>301.59500000000003</c:v>
                </c:pt>
                <c:pt idx="3">
                  <c:v>438.10500000000002</c:v>
                </c:pt>
                <c:pt idx="4">
                  <c:v>909.05200000000002</c:v>
                </c:pt>
                <c:pt idx="5">
                  <c:v>524.54100000000005</c:v>
                </c:pt>
                <c:pt idx="6">
                  <c:v>256.97899999999998</c:v>
                </c:pt>
                <c:pt idx="7">
                  <c:v>274.39400000000001</c:v>
                </c:pt>
                <c:pt idx="8">
                  <c:v>215.23902047013962</c:v>
                </c:pt>
                <c:pt idx="9">
                  <c:v>334.67798436822795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E-4A92-9B76-3FB11C93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lineChart>
        <c:grouping val="standar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Supply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2'!$B$2:$B$11</c:f>
              <c:numCache>
                <c:formatCode>#,##0</c:formatCode>
                <c:ptCount val="10"/>
                <c:pt idx="0">
                  <c:v>4053.2856843585473</c:v>
                </c:pt>
                <c:pt idx="1">
                  <c:v>4140.9299162439074</c:v>
                </c:pt>
                <c:pt idx="2">
                  <c:v>4515.5057172106053</c:v>
                </c:pt>
                <c:pt idx="3">
                  <c:v>4735.0385006007273</c:v>
                </c:pt>
                <c:pt idx="4">
                  <c:v>4880.3122800963401</c:v>
                </c:pt>
                <c:pt idx="5">
                  <c:v>4476.3405056159772</c:v>
                </c:pt>
                <c:pt idx="6">
                  <c:v>4760.6579864362348</c:v>
                </c:pt>
                <c:pt idx="7">
                  <c:v>4738.2710486205597</c:v>
                </c:pt>
                <c:pt idx="8">
                  <c:v>4570.5169999999998</c:v>
                </c:pt>
                <c:pt idx="9">
                  <c:v>4745.2390204701396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E-4A92-9B76-3FB11C93F67E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Demand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2'!$C$2:$C$11</c:f>
              <c:numCache>
                <c:formatCode>#,##0</c:formatCode>
                <c:ptCount val="10"/>
                <c:pt idx="0">
                  <c:v>3862.6756843585472</c:v>
                </c:pt>
                <c:pt idx="1">
                  <c:v>3944.2009162439076</c:v>
                </c:pt>
                <c:pt idx="2">
                  <c:v>4213.9107172106051</c:v>
                </c:pt>
                <c:pt idx="3">
                  <c:v>4296.9335006007277</c:v>
                </c:pt>
                <c:pt idx="4">
                  <c:v>3971.26028009634</c:v>
                </c:pt>
                <c:pt idx="5">
                  <c:v>3951.7995056159771</c:v>
                </c:pt>
                <c:pt idx="6">
                  <c:v>4503.6789864362345</c:v>
                </c:pt>
                <c:pt idx="7">
                  <c:v>4463.8770486205594</c:v>
                </c:pt>
                <c:pt idx="8">
                  <c:v>4355.2779795298602</c:v>
                </c:pt>
                <c:pt idx="9">
                  <c:v>4410.5610361019117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E-4A92-9B76-3FB11C93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6324662387498594"/>
              <c:y val="0.83174373423910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5000"/>
          <c:min val="38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effectLst/>
                  </a:rPr>
                  <a:t>Million bushels</a:t>
                </a: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50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6432698387949"/>
          <c:y val="0.10306179558437548"/>
          <c:w val="0.50050310542865306"/>
          <c:h val="6.5153298852349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oil supply and disappearance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279561208691E-3"/>
          <c:y val="6.28915638418760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065616797900251E-2"/>
          <c:y val="0.15476497724339905"/>
          <c:w val="0.92555442945869371"/>
          <c:h val="0.5353290112533774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'Figure 3'!$C$1</c:f>
              <c:strCache>
                <c:ptCount val="1"/>
                <c:pt idx="0">
                  <c:v>Biofuel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3'!$A$2:$A$11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3'!$C$2:$C$11</c:f>
              <c:numCache>
                <c:formatCode>#,##0.000</c:formatCode>
                <c:ptCount val="10"/>
                <c:pt idx="0">
                  <c:v>5.0387700000000004</c:v>
                </c:pt>
                <c:pt idx="1">
                  <c:v>5.67</c:v>
                </c:pt>
                <c:pt idx="2">
                  <c:v>6.2003000000000004</c:v>
                </c:pt>
                <c:pt idx="3">
                  <c:v>7.33371</c:v>
                </c:pt>
                <c:pt idx="4">
                  <c:v>8.6632999999999996</c:v>
                </c:pt>
                <c:pt idx="5">
                  <c:v>8.6578199999999992</c:v>
                </c:pt>
                <c:pt idx="6">
                  <c:v>8.92</c:v>
                </c:pt>
                <c:pt idx="7">
                  <c:v>10.348190000000001</c:v>
                </c:pt>
                <c:pt idx="8">
                  <c:v>11.6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51-4A1E-AD9D-5E7A6D30207E}"/>
            </c:ext>
          </c:extLst>
        </c:ser>
        <c:ser>
          <c:idx val="2"/>
          <c:order val="2"/>
          <c:tx>
            <c:strRef>
              <c:f>'Figure 3'!$D$1</c:f>
              <c:strCache>
                <c:ptCount val="1"/>
                <c:pt idx="0">
                  <c:v>Food, feed, and other industrial use</c:v>
                </c:pt>
              </c:strCache>
            </c:strRef>
          </c:tx>
          <c:spPr>
            <a:pattFill prst="lgConfetti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3'!$A$2:$A$11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3'!$D$2:$D$11</c:f>
              <c:numCache>
                <c:formatCode>#,##0.000</c:formatCode>
                <c:ptCount val="10"/>
                <c:pt idx="0">
                  <c:v>13.920131077093275</c:v>
                </c:pt>
                <c:pt idx="1">
                  <c:v>14.492247412149666</c:v>
                </c:pt>
                <c:pt idx="2">
                  <c:v>13.662016352975796</c:v>
                </c:pt>
                <c:pt idx="3">
                  <c:v>14.04650060750757</c:v>
                </c:pt>
                <c:pt idx="4">
                  <c:v>14.210857005018134</c:v>
                </c:pt>
                <c:pt idx="5">
                  <c:v>13.659180563573729</c:v>
                </c:pt>
                <c:pt idx="6">
                  <c:v>14.394331644053418</c:v>
                </c:pt>
                <c:pt idx="7">
                  <c:v>14.476912760305853</c:v>
                </c:pt>
                <c:pt idx="8">
                  <c:v>14.525</c:v>
                </c:pt>
                <c:pt idx="9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A1E-AD9D-5E7A6D30207E}"/>
            </c:ext>
          </c:extLst>
        </c:ser>
        <c:ser>
          <c:idx val="3"/>
          <c:order val="3"/>
          <c:tx>
            <c:strRef>
              <c:f>'Figure 3'!$E$1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3'!$A$2:$A$11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3'!$E$2:$E$11</c:f>
              <c:numCache>
                <c:formatCode>#,##0.000</c:formatCode>
                <c:ptCount val="10"/>
                <c:pt idx="0">
                  <c:v>2.014373388233528</c:v>
                </c:pt>
                <c:pt idx="1">
                  <c:v>2.242541908601738</c:v>
                </c:pt>
                <c:pt idx="2">
                  <c:v>2.5556629160845037</c:v>
                </c:pt>
                <c:pt idx="3">
                  <c:v>2.4430375649191838</c:v>
                </c:pt>
                <c:pt idx="4">
                  <c:v>1.9404219679927719</c:v>
                </c:pt>
                <c:pt idx="5">
                  <c:v>2.8366949799463836</c:v>
                </c:pt>
                <c:pt idx="6">
                  <c:v>1.731359148174006</c:v>
                </c:pt>
                <c:pt idx="7">
                  <c:v>1.7734436302917098</c:v>
                </c:pt>
                <c:pt idx="8">
                  <c:v>0.45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51-4A1E-AD9D-5E7A6D302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1"/>
          <c:order val="0"/>
          <c:tx>
            <c:strRef>
              <c:f>'Figure 3'!$B$1</c:f>
              <c:strCache>
                <c:ptCount val="1"/>
                <c:pt idx="0">
                  <c:v>Supply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3'!$B$2:$B$11</c:f>
              <c:numCache>
                <c:formatCode>#,##0.000</c:formatCode>
                <c:ptCount val="10"/>
                <c:pt idx="0">
                  <c:v>22.828092465326804</c:v>
                </c:pt>
                <c:pt idx="1">
                  <c:v>24.091602320751409</c:v>
                </c:pt>
                <c:pt idx="2">
                  <c:v>24.128933269060301</c:v>
                </c:pt>
                <c:pt idx="3">
                  <c:v>25.818682172426755</c:v>
                </c:pt>
                <c:pt idx="4">
                  <c:v>26.589894973010903</c:v>
                </c:pt>
                <c:pt idx="5">
                  <c:v>27.006370543520113</c:v>
                </c:pt>
                <c:pt idx="6">
                  <c:v>27.176923792227427</c:v>
                </c:pt>
                <c:pt idx="7">
                  <c:v>28.589694390597565</c:v>
                </c:pt>
                <c:pt idx="8">
                  <c:v>28.511148000000002</c:v>
                </c:pt>
                <c:pt idx="9">
                  <c:v>29.431148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51-4A1E-AD9D-5E7A6D302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6324662387498594"/>
              <c:y val="0.82702630921134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Billion pounds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2268995221751"/>
          <c:y val="8.6721711869349669E-2"/>
          <c:w val="0.76077302218410814"/>
          <c:h val="5.5380304024496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meal supply and disappearance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279561208691E-3"/>
          <c:y val="6.28915638418760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65396775898063E-2"/>
          <c:y val="0.15476497724339905"/>
          <c:w val="0.93435530954670265"/>
          <c:h val="0.5735233486439195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'Figure 4'!$D$1</c:f>
              <c:strCache>
                <c:ptCount val="1"/>
                <c:pt idx="0">
                  <c:v>Domestic disappearance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4'!$D$2:$D$11</c:f>
              <c:numCache>
                <c:formatCode>#,##0.000</c:formatCode>
                <c:ptCount val="10"/>
                <c:pt idx="0">
                  <c:v>32.277515252823328</c:v>
                </c:pt>
                <c:pt idx="1">
                  <c:v>33.110294160647356</c:v>
                </c:pt>
                <c:pt idx="2">
                  <c:v>33.415579290918068</c:v>
                </c:pt>
                <c:pt idx="3">
                  <c:v>35.535109349509405</c:v>
                </c:pt>
                <c:pt idx="4">
                  <c:v>36.267676843266003</c:v>
                </c:pt>
                <c:pt idx="5">
                  <c:v>37.967281257744652</c:v>
                </c:pt>
                <c:pt idx="6">
                  <c:v>37.674373916642843</c:v>
                </c:pt>
                <c:pt idx="7">
                  <c:v>38.969602626211376</c:v>
                </c:pt>
                <c:pt idx="8">
                  <c:v>39.299999999999997</c:v>
                </c:pt>
                <c:pt idx="9">
                  <c:v>40.174999999999997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B7-4E94-9E18-53EDD9A7D915}"/>
            </c:ext>
          </c:extLst>
        </c:ser>
        <c:ser>
          <c:idx val="0"/>
          <c:order val="2"/>
          <c:tx>
            <c:strRef>
              <c:f>'Figure 4'!$C$1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4'!$A$2:$A$11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4'!$C$2:$C$11</c:f>
              <c:numCache>
                <c:formatCode>#,##0.000</c:formatCode>
                <c:ptCount val="10"/>
                <c:pt idx="0">
                  <c:v>13.107299501123148</c:v>
                </c:pt>
                <c:pt idx="1">
                  <c:v>11.952508472427619</c:v>
                </c:pt>
                <c:pt idx="2">
                  <c:v>11.579831238332519</c:v>
                </c:pt>
                <c:pt idx="3">
                  <c:v>14.018496375209455</c:v>
                </c:pt>
                <c:pt idx="4">
                  <c:v>13.382755633454524</c:v>
                </c:pt>
                <c:pt idx="5">
                  <c:v>13.833111753485145</c:v>
                </c:pt>
                <c:pt idx="6">
                  <c:v>13.675364391156284</c:v>
                </c:pt>
                <c:pt idx="7">
                  <c:v>13.523827120054571</c:v>
                </c:pt>
                <c:pt idx="8">
                  <c:v>13.8</c:v>
                </c:pt>
                <c:pt idx="9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Supply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2022/23*</c:v>
                </c:pt>
                <c:pt idx="9">
                  <c:v>2023/24*</c:v>
                </c:pt>
              </c:strCache>
            </c:strRef>
          </c:cat>
          <c:val>
            <c:numRef>
              <c:f>'Figure 4'!$B$2:$B$11</c:f>
              <c:numCache>
                <c:formatCode>#,##0.000</c:formatCode>
                <c:ptCount val="10"/>
                <c:pt idx="0">
                  <c:v>45.645278753946478</c:v>
                </c:pt>
                <c:pt idx="1">
                  <c:v>45.326688633074973</c:v>
                </c:pt>
                <c:pt idx="2">
                  <c:v>45.396040529250584</c:v>
                </c:pt>
                <c:pt idx="3">
                  <c:v>50.109029724718859</c:v>
                </c:pt>
                <c:pt idx="4">
                  <c:v>50.052447476720523</c:v>
                </c:pt>
                <c:pt idx="5">
                  <c:v>52.141729011229799</c:v>
                </c:pt>
                <c:pt idx="6">
                  <c:v>51.690524307799123</c:v>
                </c:pt>
                <c:pt idx="7">
                  <c:v>52.804356746265945</c:v>
                </c:pt>
                <c:pt idx="8">
                  <c:v>53.45</c:v>
                </c:pt>
                <c:pt idx="9">
                  <c:v>55.375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6324662387498594"/>
              <c:y val="0.85530019685039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Million short tons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2268995221751"/>
          <c:y val="8.6721711869349669E-2"/>
          <c:w val="0.60265344235816676"/>
          <c:h val="5.2743146689997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5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and canola oil prices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279561208691E-3"/>
          <c:y val="6.28915638418760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67952082912707E-2"/>
          <c:y val="0.15476497724339905"/>
          <c:w val="0.90135203412073495"/>
          <c:h val="0.5353290112533774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5'!$B$1</c:f>
              <c:strCache>
                <c:ptCount val="1"/>
                <c:pt idx="0">
                  <c:v>Soybean oil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'Figure 5'!$A$2:$A$44</c:f>
              <c:strCache>
                <c:ptCount val="43"/>
                <c:pt idx="0">
                  <c:v>Oct. 2019</c:v>
                </c:pt>
                <c:pt idx="1">
                  <c:v>Nov. 2019</c:v>
                </c:pt>
                <c:pt idx="2">
                  <c:v>Dec. 2019</c:v>
                </c:pt>
                <c:pt idx="3">
                  <c:v>Jan. 2020</c:v>
                </c:pt>
                <c:pt idx="4">
                  <c:v>Feb. 2020</c:v>
                </c:pt>
                <c:pt idx="5">
                  <c:v>Mar. 2020</c:v>
                </c:pt>
                <c:pt idx="6">
                  <c:v>Apr. 2020</c:v>
                </c:pt>
                <c:pt idx="7">
                  <c:v>May 2020</c:v>
                </c:pt>
                <c:pt idx="8">
                  <c:v>Jun. 2020</c:v>
                </c:pt>
                <c:pt idx="9">
                  <c:v>Jul. 2020</c:v>
                </c:pt>
                <c:pt idx="10">
                  <c:v>Aug. 2020</c:v>
                </c:pt>
                <c:pt idx="11">
                  <c:v>Sep. 2020</c:v>
                </c:pt>
                <c:pt idx="12">
                  <c:v>Oct. 2020</c:v>
                </c:pt>
                <c:pt idx="13">
                  <c:v>Nov. 2020</c:v>
                </c:pt>
                <c:pt idx="14">
                  <c:v>Dec. 2020</c:v>
                </c:pt>
                <c:pt idx="15">
                  <c:v>Jan. 2021</c:v>
                </c:pt>
                <c:pt idx="16">
                  <c:v>Feb. 2021</c:v>
                </c:pt>
                <c:pt idx="17">
                  <c:v>Mar. 2021</c:v>
                </c:pt>
                <c:pt idx="18">
                  <c:v>Apr. 2021</c:v>
                </c:pt>
                <c:pt idx="19">
                  <c:v>May 2021</c:v>
                </c:pt>
                <c:pt idx="20">
                  <c:v>Jun. 2021</c:v>
                </c:pt>
                <c:pt idx="21">
                  <c:v>Jul. 2021</c:v>
                </c:pt>
                <c:pt idx="22">
                  <c:v>Aug. 2021</c:v>
                </c:pt>
                <c:pt idx="23">
                  <c:v>Sep. 2021</c:v>
                </c:pt>
                <c:pt idx="24">
                  <c:v>Oct. 2021</c:v>
                </c:pt>
                <c:pt idx="25">
                  <c:v>Nov. 2021</c:v>
                </c:pt>
                <c:pt idx="26">
                  <c:v>Dec. 2021</c:v>
                </c:pt>
                <c:pt idx="27">
                  <c:v>Jan. 2022</c:v>
                </c:pt>
                <c:pt idx="28">
                  <c:v>Feb. 2022</c:v>
                </c:pt>
                <c:pt idx="29">
                  <c:v>Mar. 2022</c:v>
                </c:pt>
                <c:pt idx="30">
                  <c:v>Apr. 2022</c:v>
                </c:pt>
                <c:pt idx="31">
                  <c:v>May 2022</c:v>
                </c:pt>
                <c:pt idx="32">
                  <c:v>Jun. 2022</c:v>
                </c:pt>
                <c:pt idx="33">
                  <c:v>Jul. 2022</c:v>
                </c:pt>
                <c:pt idx="34">
                  <c:v>Aug. 2022</c:v>
                </c:pt>
                <c:pt idx="35">
                  <c:v>Sep. 2022</c:v>
                </c:pt>
                <c:pt idx="36">
                  <c:v>Oct. 2022</c:v>
                </c:pt>
                <c:pt idx="37">
                  <c:v>Nov. 2022</c:v>
                </c:pt>
                <c:pt idx="38">
                  <c:v>Dec. 2022</c:v>
                </c:pt>
                <c:pt idx="39">
                  <c:v>Jan. 2023</c:v>
                </c:pt>
                <c:pt idx="40">
                  <c:v>Feb. 2023</c:v>
                </c:pt>
                <c:pt idx="41">
                  <c:v>Mar. 2023</c:v>
                </c:pt>
                <c:pt idx="42">
                  <c:v>Apr. 2023</c:v>
                </c:pt>
              </c:strCache>
            </c:strRef>
          </c:cat>
          <c:val>
            <c:numRef>
              <c:f>'Figure 5'!$B$2:$B$44</c:f>
              <c:numCache>
                <c:formatCode>0.00</c:formatCode>
                <c:ptCount val="43"/>
                <c:pt idx="0">
                  <c:v>30.14</c:v>
                </c:pt>
                <c:pt idx="1">
                  <c:v>30.62</c:v>
                </c:pt>
                <c:pt idx="2">
                  <c:v>32.270000000000003</c:v>
                </c:pt>
                <c:pt idx="3">
                  <c:v>33.04</c:v>
                </c:pt>
                <c:pt idx="4">
                  <c:v>30.26</c:v>
                </c:pt>
                <c:pt idx="5">
                  <c:v>27.04</c:v>
                </c:pt>
                <c:pt idx="6">
                  <c:v>25.69</c:v>
                </c:pt>
                <c:pt idx="7">
                  <c:v>25.27</c:v>
                </c:pt>
                <c:pt idx="8">
                  <c:v>26.61</c:v>
                </c:pt>
                <c:pt idx="9">
                  <c:v>28.71</c:v>
                </c:pt>
                <c:pt idx="10">
                  <c:v>32.130000000000003</c:v>
                </c:pt>
                <c:pt idx="11">
                  <c:v>34.200000000000003</c:v>
                </c:pt>
                <c:pt idx="12">
                  <c:v>33.909999999999997</c:v>
                </c:pt>
                <c:pt idx="13">
                  <c:v>37.79</c:v>
                </c:pt>
                <c:pt idx="14">
                  <c:v>40.85</c:v>
                </c:pt>
                <c:pt idx="15">
                  <c:v>44.31</c:v>
                </c:pt>
                <c:pt idx="16">
                  <c:v>48.37</c:v>
                </c:pt>
                <c:pt idx="17">
                  <c:v>54</c:v>
                </c:pt>
                <c:pt idx="18">
                  <c:v>62.88</c:v>
                </c:pt>
                <c:pt idx="19">
                  <c:v>74.75</c:v>
                </c:pt>
                <c:pt idx="20">
                  <c:v>74.75</c:v>
                </c:pt>
                <c:pt idx="21">
                  <c:v>72.930000000000007</c:v>
                </c:pt>
                <c:pt idx="22">
                  <c:v>70.010000000000005</c:v>
                </c:pt>
                <c:pt idx="23">
                  <c:v>65.930000000000007</c:v>
                </c:pt>
                <c:pt idx="24">
                  <c:v>70.42</c:v>
                </c:pt>
                <c:pt idx="25">
                  <c:v>66.459999999999994</c:v>
                </c:pt>
                <c:pt idx="26">
                  <c:v>63.69</c:v>
                </c:pt>
                <c:pt idx="27">
                  <c:v>65.7</c:v>
                </c:pt>
                <c:pt idx="28">
                  <c:v>70.91</c:v>
                </c:pt>
                <c:pt idx="29">
                  <c:v>76.405000000000001</c:v>
                </c:pt>
                <c:pt idx="30">
                  <c:v>83.846000000000004</c:v>
                </c:pt>
                <c:pt idx="31">
                  <c:v>87.385000000000005</c:v>
                </c:pt>
                <c:pt idx="32">
                  <c:v>80.297499999999999</c:v>
                </c:pt>
                <c:pt idx="33">
                  <c:v>67.74799999999999</c:v>
                </c:pt>
                <c:pt idx="34">
                  <c:v>72.334999999999994</c:v>
                </c:pt>
                <c:pt idx="35">
                  <c:v>70.626000000000005</c:v>
                </c:pt>
                <c:pt idx="36">
                  <c:v>72.67</c:v>
                </c:pt>
                <c:pt idx="37">
                  <c:v>79.180000000000007</c:v>
                </c:pt>
                <c:pt idx="38">
                  <c:v>68.14</c:v>
                </c:pt>
                <c:pt idx="39">
                  <c:v>66</c:v>
                </c:pt>
                <c:pt idx="40">
                  <c:v>63.242500000000007</c:v>
                </c:pt>
                <c:pt idx="41">
                  <c:v>58.83</c:v>
                </c:pt>
                <c:pt idx="42">
                  <c:v>55.474999999999994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8-4378-84AA-D3DA127B609C}"/>
            </c:ext>
          </c:extLst>
        </c:ser>
        <c:ser>
          <c:idx val="0"/>
          <c:order val="1"/>
          <c:tx>
            <c:strRef>
              <c:f>'Figure 5'!$C$1</c:f>
              <c:strCache>
                <c:ptCount val="1"/>
                <c:pt idx="0">
                  <c:v>Canola oil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'Figure 5'!$A$2:$A$44</c:f>
              <c:strCache>
                <c:ptCount val="43"/>
                <c:pt idx="0">
                  <c:v>Oct. 2019</c:v>
                </c:pt>
                <c:pt idx="1">
                  <c:v>Nov. 2019</c:v>
                </c:pt>
                <c:pt idx="2">
                  <c:v>Dec. 2019</c:v>
                </c:pt>
                <c:pt idx="3">
                  <c:v>Jan. 2020</c:v>
                </c:pt>
                <c:pt idx="4">
                  <c:v>Feb. 2020</c:v>
                </c:pt>
                <c:pt idx="5">
                  <c:v>Mar. 2020</c:v>
                </c:pt>
                <c:pt idx="6">
                  <c:v>Apr. 2020</c:v>
                </c:pt>
                <c:pt idx="7">
                  <c:v>May 2020</c:v>
                </c:pt>
                <c:pt idx="8">
                  <c:v>Jun. 2020</c:v>
                </c:pt>
                <c:pt idx="9">
                  <c:v>Jul. 2020</c:v>
                </c:pt>
                <c:pt idx="10">
                  <c:v>Aug. 2020</c:v>
                </c:pt>
                <c:pt idx="11">
                  <c:v>Sep. 2020</c:v>
                </c:pt>
                <c:pt idx="12">
                  <c:v>Oct. 2020</c:v>
                </c:pt>
                <c:pt idx="13">
                  <c:v>Nov. 2020</c:v>
                </c:pt>
                <c:pt idx="14">
                  <c:v>Dec. 2020</c:v>
                </c:pt>
                <c:pt idx="15">
                  <c:v>Jan. 2021</c:v>
                </c:pt>
                <c:pt idx="16">
                  <c:v>Feb. 2021</c:v>
                </c:pt>
                <c:pt idx="17">
                  <c:v>Mar. 2021</c:v>
                </c:pt>
                <c:pt idx="18">
                  <c:v>Apr. 2021</c:v>
                </c:pt>
                <c:pt idx="19">
                  <c:v>May 2021</c:v>
                </c:pt>
                <c:pt idx="20">
                  <c:v>Jun. 2021</c:v>
                </c:pt>
                <c:pt idx="21">
                  <c:v>Jul. 2021</c:v>
                </c:pt>
                <c:pt idx="22">
                  <c:v>Aug. 2021</c:v>
                </c:pt>
                <c:pt idx="23">
                  <c:v>Sep. 2021</c:v>
                </c:pt>
                <c:pt idx="24">
                  <c:v>Oct. 2021</c:v>
                </c:pt>
                <c:pt idx="25">
                  <c:v>Nov. 2021</c:v>
                </c:pt>
                <c:pt idx="26">
                  <c:v>Dec. 2021</c:v>
                </c:pt>
                <c:pt idx="27">
                  <c:v>Jan. 2022</c:v>
                </c:pt>
                <c:pt idx="28">
                  <c:v>Feb. 2022</c:v>
                </c:pt>
                <c:pt idx="29">
                  <c:v>Mar. 2022</c:v>
                </c:pt>
                <c:pt idx="30">
                  <c:v>Apr. 2022</c:v>
                </c:pt>
                <c:pt idx="31">
                  <c:v>May 2022</c:v>
                </c:pt>
                <c:pt idx="32">
                  <c:v>Jun. 2022</c:v>
                </c:pt>
                <c:pt idx="33">
                  <c:v>Jul. 2022</c:v>
                </c:pt>
                <c:pt idx="34">
                  <c:v>Aug. 2022</c:v>
                </c:pt>
                <c:pt idx="35">
                  <c:v>Sep. 2022</c:v>
                </c:pt>
                <c:pt idx="36">
                  <c:v>Oct. 2022</c:v>
                </c:pt>
                <c:pt idx="37">
                  <c:v>Nov. 2022</c:v>
                </c:pt>
                <c:pt idx="38">
                  <c:v>Dec. 2022</c:v>
                </c:pt>
                <c:pt idx="39">
                  <c:v>Jan. 2023</c:v>
                </c:pt>
                <c:pt idx="40">
                  <c:v>Feb. 2023</c:v>
                </c:pt>
                <c:pt idx="41">
                  <c:v>Mar. 2023</c:v>
                </c:pt>
                <c:pt idx="42">
                  <c:v>Apr. 2023</c:v>
                </c:pt>
              </c:strCache>
            </c:strRef>
          </c:cat>
          <c:val>
            <c:numRef>
              <c:f>'Figure 5'!$C$2:$C$44</c:f>
              <c:numCache>
                <c:formatCode>0.00</c:formatCode>
                <c:ptCount val="43"/>
                <c:pt idx="0">
                  <c:v>36.3125</c:v>
                </c:pt>
                <c:pt idx="1">
                  <c:v>36.15</c:v>
                </c:pt>
                <c:pt idx="2">
                  <c:v>38.0625</c:v>
                </c:pt>
                <c:pt idx="3">
                  <c:v>37.9</c:v>
                </c:pt>
                <c:pt idx="4">
                  <c:v>35.5</c:v>
                </c:pt>
                <c:pt idx="5">
                  <c:v>32.875</c:v>
                </c:pt>
                <c:pt idx="6">
                  <c:v>32.375</c:v>
                </c:pt>
                <c:pt idx="7">
                  <c:v>32.4</c:v>
                </c:pt>
                <c:pt idx="8">
                  <c:v>36.625</c:v>
                </c:pt>
                <c:pt idx="9">
                  <c:v>40.5</c:v>
                </c:pt>
                <c:pt idx="10">
                  <c:v>47.8125</c:v>
                </c:pt>
                <c:pt idx="11">
                  <c:v>47.9375</c:v>
                </c:pt>
                <c:pt idx="12">
                  <c:v>44.35</c:v>
                </c:pt>
                <c:pt idx="13">
                  <c:v>49.5</c:v>
                </c:pt>
                <c:pt idx="14">
                  <c:v>51.65</c:v>
                </c:pt>
                <c:pt idx="15">
                  <c:v>53.3125</c:v>
                </c:pt>
                <c:pt idx="16">
                  <c:v>58.9375</c:v>
                </c:pt>
                <c:pt idx="17">
                  <c:v>71.3125</c:v>
                </c:pt>
                <c:pt idx="18">
                  <c:v>79.55</c:v>
                </c:pt>
                <c:pt idx="19">
                  <c:v>94.0625</c:v>
                </c:pt>
                <c:pt idx="20">
                  <c:v>93.5</c:v>
                </c:pt>
                <c:pt idx="21">
                  <c:v>92.3</c:v>
                </c:pt>
                <c:pt idx="22">
                  <c:v>81</c:v>
                </c:pt>
                <c:pt idx="23">
                  <c:v>76</c:v>
                </c:pt>
                <c:pt idx="24">
                  <c:v>82.3</c:v>
                </c:pt>
                <c:pt idx="25">
                  <c:v>84.375</c:v>
                </c:pt>
                <c:pt idx="26">
                  <c:v>82.95</c:v>
                </c:pt>
                <c:pt idx="27">
                  <c:v>88.5625</c:v>
                </c:pt>
                <c:pt idx="28">
                  <c:v>85.875</c:v>
                </c:pt>
                <c:pt idx="29">
                  <c:v>92</c:v>
                </c:pt>
                <c:pt idx="30">
                  <c:v>103.15</c:v>
                </c:pt>
                <c:pt idx="31">
                  <c:v>108.6875</c:v>
                </c:pt>
                <c:pt idx="32">
                  <c:v>102.25</c:v>
                </c:pt>
                <c:pt idx="33">
                  <c:v>87.9</c:v>
                </c:pt>
                <c:pt idx="34">
                  <c:v>91.3125</c:v>
                </c:pt>
                <c:pt idx="35">
                  <c:v>76.849999999999994</c:v>
                </c:pt>
                <c:pt idx="36">
                  <c:v>80.125</c:v>
                </c:pt>
                <c:pt idx="37">
                  <c:v>84.375</c:v>
                </c:pt>
                <c:pt idx="38">
                  <c:v>74.05</c:v>
                </c:pt>
                <c:pt idx="39">
                  <c:v>71.1875</c:v>
                </c:pt>
                <c:pt idx="40">
                  <c:v>68.25</c:v>
                </c:pt>
                <c:pt idx="41">
                  <c:v>64.599999999999994</c:v>
                </c:pt>
                <c:pt idx="42">
                  <c:v>62.625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8-4378-84AA-D3DA127B6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104640385298373"/>
              <c:y val="0.85499856182360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Cents per pound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103115823393365"/>
          <c:y val="8.6721824194554653E-2"/>
          <c:w val="0.48824198955328602"/>
          <c:h val="5.2743146689997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6</a:t>
            </a: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World oilseed prices 2002</a:t>
            </a:r>
            <a:r>
              <a:rPr lang="en-US" sz="1050" b="1" i="0" u="none" strike="noStrike" baseline="0">
                <a:effectLst/>
              </a:rPr>
              <a:t>–</a:t>
            </a:r>
            <a:r>
              <a:rPr lang="en-US" sz="1100" b="1" i="0" baseline="0">
                <a:effectLst/>
              </a:rPr>
              <a:t>present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165562058029664E-2"/>
          <c:y val="0.25130525238799578"/>
          <c:w val="0.86887862810033112"/>
          <c:h val="0.47576750230260045"/>
        </c:manualLayout>
      </c:layout>
      <c:lineChart>
        <c:grouping val="standard"/>
        <c:varyColors val="0"/>
        <c:ser>
          <c:idx val="1"/>
          <c:order val="0"/>
          <c:tx>
            <c:strRef>
              <c:f>'Figure 6'!$B$2</c:f>
              <c:strCache>
                <c:ptCount val="1"/>
                <c:pt idx="0">
                  <c:v>Soybeans, U.S. No. 2, CIF Rotterdam, 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6'!$A$3:$A$23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 YTD</c:v>
                </c:pt>
              </c:strCache>
            </c:strRef>
          </c:cat>
          <c:val>
            <c:numRef>
              <c:f>'Figure 6'!$B$3:$B$23</c:f>
              <c:numCache>
                <c:formatCode>0</c:formatCode>
                <c:ptCount val="21"/>
                <c:pt idx="0">
                  <c:v>244.83333333333334</c:v>
                </c:pt>
                <c:pt idx="1">
                  <c:v>322.75</c:v>
                </c:pt>
                <c:pt idx="2">
                  <c:v>276.91666666666669</c:v>
                </c:pt>
                <c:pt idx="3">
                  <c:v>260.91666666666669</c:v>
                </c:pt>
                <c:pt idx="4">
                  <c:v>335.41666666666669</c:v>
                </c:pt>
                <c:pt idx="5">
                  <c:v>549.66666666666663</c:v>
                </c:pt>
                <c:pt idx="6">
                  <c:v>420.83333333333331</c:v>
                </c:pt>
                <c:pt idx="7">
                  <c:v>429.16666666666669</c:v>
                </c:pt>
                <c:pt idx="8">
                  <c:v>549.25</c:v>
                </c:pt>
                <c:pt idx="9">
                  <c:v>562.25</c:v>
                </c:pt>
                <c:pt idx="10">
                  <c:v>557.16666666666663</c:v>
                </c:pt>
                <c:pt idx="11">
                  <c:v>520.66666666666663</c:v>
                </c:pt>
                <c:pt idx="12">
                  <c:v>407.08333333333331</c:v>
                </c:pt>
                <c:pt idx="13">
                  <c:v>395.75</c:v>
                </c:pt>
                <c:pt idx="14">
                  <c:v>403.58333333333331</c:v>
                </c:pt>
                <c:pt idx="15">
                  <c:v>403.41666666666669</c:v>
                </c:pt>
                <c:pt idx="16">
                  <c:v>369.91666666666669</c:v>
                </c:pt>
                <c:pt idx="17">
                  <c:v>379.83333333333331</c:v>
                </c:pt>
                <c:pt idx="18">
                  <c:v>563.25</c:v>
                </c:pt>
                <c:pt idx="19">
                  <c:v>639.66666666666663</c:v>
                </c:pt>
                <c:pt idx="20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A9-4CB4-9206-91B128A48085}"/>
            </c:ext>
          </c:extLst>
        </c:ser>
        <c:ser>
          <c:idx val="0"/>
          <c:order val="1"/>
          <c:tx>
            <c:strRef>
              <c:f>'Figure 6'!$C$2</c:f>
              <c:strCache>
                <c:ptCount val="1"/>
                <c:pt idx="0">
                  <c:v>Sunflowerseed, CIF Rotterdam, NL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'Figure 6'!$A$3:$A$23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 YTD</c:v>
                </c:pt>
              </c:strCache>
            </c:strRef>
          </c:cat>
          <c:val>
            <c:numRef>
              <c:f>'Figure 6'!$C$3:$C$23</c:f>
              <c:numCache>
                <c:formatCode>0</c:formatCode>
                <c:ptCount val="21"/>
                <c:pt idx="0">
                  <c:v>286.16666666666669</c:v>
                </c:pt>
                <c:pt idx="1">
                  <c:v>320.75</c:v>
                </c:pt>
                <c:pt idx="2">
                  <c:v>313</c:v>
                </c:pt>
                <c:pt idx="3">
                  <c:v>291.41666666666669</c:v>
                </c:pt>
                <c:pt idx="4">
                  <c:v>401.16666666666669</c:v>
                </c:pt>
                <c:pt idx="5">
                  <c:v>745.25</c:v>
                </c:pt>
                <c:pt idx="6">
                  <c:v>363.66666666666669</c:v>
                </c:pt>
                <c:pt idx="7">
                  <c:v>451.91666666666669</c:v>
                </c:pt>
                <c:pt idx="8">
                  <c:v>661.16666666666663</c:v>
                </c:pt>
                <c:pt idx="9">
                  <c:v>592.58333333333337</c:v>
                </c:pt>
                <c:pt idx="10">
                  <c:v>580.25</c:v>
                </c:pt>
                <c:pt idx="11">
                  <c:v>466.08333333333331</c:v>
                </c:pt>
                <c:pt idx="12">
                  <c:v>431.66666666666669</c:v>
                </c:pt>
                <c:pt idx="13">
                  <c:v>439.75</c:v>
                </c:pt>
                <c:pt idx="14">
                  <c:v>407.58333333333331</c:v>
                </c:pt>
                <c:pt idx="15">
                  <c:v>402.75</c:v>
                </c:pt>
                <c:pt idx="16">
                  <c:v>380.08333333333331</c:v>
                </c:pt>
                <c:pt idx="17">
                  <c:v>420</c:v>
                </c:pt>
                <c:pt idx="18">
                  <c:v>684.66666666666663</c:v>
                </c:pt>
                <c:pt idx="19">
                  <c:v>762.58333333333337</c:v>
                </c:pt>
                <c:pt idx="20">
                  <c:v>581.28571428571433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9-4CB4-9206-91B128A48085}"/>
            </c:ext>
          </c:extLst>
        </c:ser>
        <c:ser>
          <c:idx val="2"/>
          <c:order val="2"/>
          <c:tx>
            <c:strRef>
              <c:f>'Figure 6'!$D$2</c:f>
              <c:strCache>
                <c:ptCount val="1"/>
                <c:pt idx="0">
                  <c:v>Rapeseed, CIF Hamburg, DE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6'!$A$3:$A$23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 YTD</c:v>
                </c:pt>
              </c:strCache>
            </c:strRef>
          </c:cat>
          <c:val>
            <c:numRef>
              <c:f>'Figure 6'!$D$3:$D$23</c:f>
              <c:numCache>
                <c:formatCode>0</c:formatCode>
                <c:ptCount val="21"/>
                <c:pt idx="0">
                  <c:v>284.58333333333331</c:v>
                </c:pt>
                <c:pt idx="1">
                  <c:v>317.25</c:v>
                </c:pt>
                <c:pt idx="2">
                  <c:v>261.91666666666669</c:v>
                </c:pt>
                <c:pt idx="3">
                  <c:v>291.91666666666669</c:v>
                </c:pt>
                <c:pt idx="4">
                  <c:v>375.16666666666669</c:v>
                </c:pt>
                <c:pt idx="5">
                  <c:v>643.58333333333337</c:v>
                </c:pt>
                <c:pt idx="6">
                  <c:v>392.83333333333331</c:v>
                </c:pt>
                <c:pt idx="7">
                  <c:v>419.25</c:v>
                </c:pt>
                <c:pt idx="8">
                  <c:v>647.25</c:v>
                </c:pt>
                <c:pt idx="9">
                  <c:v>616.08333333333337</c:v>
                </c:pt>
                <c:pt idx="10">
                  <c:v>578.5</c:v>
                </c:pt>
                <c:pt idx="11">
                  <c:v>504.5</c:v>
                </c:pt>
                <c:pt idx="12">
                  <c:v>416.83333333333331</c:v>
                </c:pt>
                <c:pt idx="13">
                  <c:v>409.41666666666669</c:v>
                </c:pt>
                <c:pt idx="14">
                  <c:v>431.58333333333331</c:v>
                </c:pt>
                <c:pt idx="15">
                  <c:v>424.66666666666669</c:v>
                </c:pt>
                <c:pt idx="16">
                  <c:v>419.91666666666669</c:v>
                </c:pt>
                <c:pt idx="17">
                  <c:v>432.75</c:v>
                </c:pt>
                <c:pt idx="18">
                  <c:v>593.66666666666663</c:v>
                </c:pt>
                <c:pt idx="19">
                  <c:v>822.08333333333337</c:v>
                </c:pt>
                <c:pt idx="20">
                  <c:v>580.57142857142856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A9-4CB4-9206-91B128A48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6513370442745483"/>
              <c:y val="0.85451461125887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  <c:max val="850"/>
          <c:min val="2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</a:t>
                </a:r>
                <a:r>
                  <a:rPr lang="en-US" sz="900" baseline="0"/>
                  <a:t> per</a:t>
                </a:r>
                <a:r>
                  <a:rPr lang="en-US" sz="900"/>
                  <a:t> metric ton</a:t>
                </a:r>
              </a:p>
            </c:rich>
          </c:tx>
          <c:layout>
            <c:manualLayout>
              <c:xMode val="edge"/>
              <c:yMode val="edge"/>
              <c:x val="8.667086880975965E-3"/>
              <c:y val="0.18945203187451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461922247012643E-2"/>
          <c:y val="9.8540073800816891E-2"/>
          <c:w val="0.97538077752987362"/>
          <c:h val="9.13668653255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7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Global vegetable oils ending stocks as of September 30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6607299087614"/>
          <c:y val="0.17628667233929823"/>
          <c:w val="0.83489876265466811"/>
          <c:h val="0.486666292330573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7'!$B$1</c:f>
              <c:strCache>
                <c:ptCount val="1"/>
                <c:pt idx="0">
                  <c:v>Palm oil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'Figure 7'!$A$2:$A$14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7'!$B$2:$B$14</c:f>
              <c:numCache>
                <c:formatCode>#,##0.00_);\(#,##0.00\)</c:formatCode>
                <c:ptCount val="13"/>
                <c:pt idx="0">
                  <c:v>9.4749999999999996</c:v>
                </c:pt>
                <c:pt idx="1">
                  <c:v>9.4670000000000005</c:v>
                </c:pt>
                <c:pt idx="2">
                  <c:v>9.6120000000000001</c:v>
                </c:pt>
                <c:pt idx="3">
                  <c:v>10.843999999999999</c:v>
                </c:pt>
                <c:pt idx="4">
                  <c:v>8.7899999999999991</c:v>
                </c:pt>
                <c:pt idx="5">
                  <c:v>10.218</c:v>
                </c:pt>
                <c:pt idx="6">
                  <c:v>12.929</c:v>
                </c:pt>
                <c:pt idx="7">
                  <c:v>14.951000000000001</c:v>
                </c:pt>
                <c:pt idx="8">
                  <c:v>15.755000000000001</c:v>
                </c:pt>
                <c:pt idx="9">
                  <c:v>15.189</c:v>
                </c:pt>
                <c:pt idx="10">
                  <c:v>16.32</c:v>
                </c:pt>
                <c:pt idx="11">
                  <c:v>16.916</c:v>
                </c:pt>
                <c:pt idx="12">
                  <c:v>16.521999999999998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8-4256-B840-669256A06C0C}"/>
            </c:ext>
          </c:extLst>
        </c:ser>
        <c:ser>
          <c:idx val="4"/>
          <c:order val="1"/>
          <c:tx>
            <c:strRef>
              <c:f>'Figure 7'!$C$1</c:f>
              <c:strCache>
                <c:ptCount val="1"/>
                <c:pt idx="0">
                  <c:v>Rapeseed oil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7'!$C$2:$C$14</c:f>
              <c:numCache>
                <c:formatCode>#,##0.00_);\(#,##0.00\)</c:formatCode>
                <c:ptCount val="13"/>
                <c:pt idx="0">
                  <c:v>3.3290000000000002</c:v>
                </c:pt>
                <c:pt idx="1">
                  <c:v>4.9470000000000001</c:v>
                </c:pt>
                <c:pt idx="2">
                  <c:v>6.274</c:v>
                </c:pt>
                <c:pt idx="3">
                  <c:v>6.6790000000000003</c:v>
                </c:pt>
                <c:pt idx="4">
                  <c:v>5.6989999999999998</c:v>
                </c:pt>
                <c:pt idx="5">
                  <c:v>4.2430000000000003</c:v>
                </c:pt>
                <c:pt idx="6">
                  <c:v>3.39</c:v>
                </c:pt>
                <c:pt idx="7">
                  <c:v>2.9830000000000001</c:v>
                </c:pt>
                <c:pt idx="8">
                  <c:v>2.859</c:v>
                </c:pt>
                <c:pt idx="9">
                  <c:v>3.48</c:v>
                </c:pt>
                <c:pt idx="10">
                  <c:v>2.6749999999999998</c:v>
                </c:pt>
                <c:pt idx="11">
                  <c:v>3.0049999999999999</c:v>
                </c:pt>
                <c:pt idx="12">
                  <c:v>3.3330000000000002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8-4256-B840-669256A06C0C}"/>
            </c:ext>
          </c:extLst>
        </c:ser>
        <c:ser>
          <c:idx val="2"/>
          <c:order val="2"/>
          <c:tx>
            <c:strRef>
              <c:f>'Figure 7'!$D$1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7'!$A$2:$A$14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7'!$D$2:$D$14</c:f>
              <c:numCache>
                <c:formatCode>#,##0.00_);\(#,##0.00\)</c:formatCode>
                <c:ptCount val="13"/>
                <c:pt idx="0">
                  <c:v>4.2990000000000004</c:v>
                </c:pt>
                <c:pt idx="1">
                  <c:v>4.2679999999999998</c:v>
                </c:pt>
                <c:pt idx="2">
                  <c:v>3.9729999999999999</c:v>
                </c:pt>
                <c:pt idx="3">
                  <c:v>4.556</c:v>
                </c:pt>
                <c:pt idx="4">
                  <c:v>4.0220000000000002</c:v>
                </c:pt>
                <c:pt idx="5">
                  <c:v>4.2370000000000001</c:v>
                </c:pt>
                <c:pt idx="6">
                  <c:v>4.34</c:v>
                </c:pt>
                <c:pt idx="7">
                  <c:v>4.7560000000000002</c:v>
                </c:pt>
                <c:pt idx="8">
                  <c:v>5.37</c:v>
                </c:pt>
                <c:pt idx="9">
                  <c:v>5.3609999999999998</c:v>
                </c:pt>
                <c:pt idx="10">
                  <c:v>4.67</c:v>
                </c:pt>
                <c:pt idx="11">
                  <c:v>4.5579999999999998</c:v>
                </c:pt>
                <c:pt idx="12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8-4256-B840-669256A06C0C}"/>
            </c:ext>
          </c:extLst>
        </c:ser>
        <c:ser>
          <c:idx val="1"/>
          <c:order val="3"/>
          <c:tx>
            <c:strRef>
              <c:f>'Figure 7'!$E$1</c:f>
              <c:strCache>
                <c:ptCount val="1"/>
                <c:pt idx="0">
                  <c:v>Sunflowerseed oil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7'!$A$2:$A$14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7'!$E$2:$E$14</c:f>
              <c:numCache>
                <c:formatCode>#,##0.00_);\(#,##0.00\)</c:formatCode>
                <c:ptCount val="13"/>
                <c:pt idx="0">
                  <c:v>3.0459999999999998</c:v>
                </c:pt>
                <c:pt idx="1">
                  <c:v>2.2599999999999998</c:v>
                </c:pt>
                <c:pt idx="2">
                  <c:v>2.9350000000000001</c:v>
                </c:pt>
                <c:pt idx="3">
                  <c:v>2.5430000000000001</c:v>
                </c:pt>
                <c:pt idx="4">
                  <c:v>2.0459999999999998</c:v>
                </c:pt>
                <c:pt idx="5">
                  <c:v>2.6030000000000002</c:v>
                </c:pt>
                <c:pt idx="6">
                  <c:v>2.6059999999999999</c:v>
                </c:pt>
                <c:pt idx="7">
                  <c:v>2.3420000000000001</c:v>
                </c:pt>
                <c:pt idx="8">
                  <c:v>2.786</c:v>
                </c:pt>
                <c:pt idx="9">
                  <c:v>1.84</c:v>
                </c:pt>
                <c:pt idx="10">
                  <c:v>2.581</c:v>
                </c:pt>
                <c:pt idx="11">
                  <c:v>3.0739999999999998</c:v>
                </c:pt>
                <c:pt idx="12">
                  <c:v>2.8540000000000001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98-4256-B840-669256A06C0C}"/>
            </c:ext>
          </c:extLst>
        </c:ser>
        <c:ser>
          <c:idx val="5"/>
          <c:order val="4"/>
          <c:tx>
            <c:strRef>
              <c:f>'Figure 7'!$F$1</c:f>
              <c:strCache>
                <c:ptCount val="1"/>
                <c:pt idx="0">
                  <c:v>Other oils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7'!$A$2:$A$14</c:f>
              <c:strCache>
                <c:ptCount val="13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2022/23*</c:v>
                </c:pt>
                <c:pt idx="12">
                  <c:v>2023/24*</c:v>
                </c:pt>
              </c:strCache>
            </c:strRef>
          </c:cat>
          <c:val>
            <c:numRef>
              <c:f>'Figure 7'!$F$2:$F$14</c:f>
              <c:numCache>
                <c:formatCode>#,##0.00_);\(#,##0.00\)</c:formatCode>
                <c:ptCount val="13"/>
                <c:pt idx="0">
                  <c:v>3.0640000000000001</c:v>
                </c:pt>
                <c:pt idx="1">
                  <c:v>2.3319999999999999</c:v>
                </c:pt>
                <c:pt idx="2">
                  <c:v>2.649</c:v>
                </c:pt>
                <c:pt idx="3">
                  <c:v>2.1309999999999998</c:v>
                </c:pt>
                <c:pt idx="4">
                  <c:v>2.3860000000000001</c:v>
                </c:pt>
                <c:pt idx="5">
                  <c:v>2.222</c:v>
                </c:pt>
                <c:pt idx="6">
                  <c:v>3.306</c:v>
                </c:pt>
                <c:pt idx="7">
                  <c:v>3.2519999999999998</c:v>
                </c:pt>
                <c:pt idx="8">
                  <c:v>3.2480000000000002</c:v>
                </c:pt>
                <c:pt idx="9">
                  <c:v>2.8149999999999999</c:v>
                </c:pt>
                <c:pt idx="10">
                  <c:v>2.8530000000000002</c:v>
                </c:pt>
                <c:pt idx="11">
                  <c:v>2.4980000000000002</c:v>
                </c:pt>
                <c:pt idx="12">
                  <c:v>2.601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98-4256-B840-669256A06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7710031239837197"/>
              <c:y val="0.81230410946833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4726909136365E-3"/>
              <c:y val="6.85410119699163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24809398825146"/>
          <c:y val="0.12506502830643926"/>
          <c:w val="0.81248298861553658"/>
          <c:h val="4.798293489487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603884</xdr:colOff>
      <xdr:row>0</xdr:row>
      <xdr:rowOff>45720</xdr:rowOff>
    </xdr:from>
    <xdr:to>
      <xdr:col>17</xdr:col>
      <xdr:colOff>40004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DF08E8-F157-4FCE-901B-7D6798361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0.89332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86125"/>
          <a:ext cx="5772150" cy="392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USDA, Agricultural Marketing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National Grain and Oilseed Processor Feedstuff Report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 and Sosland Publishing,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Milling and Baking News.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607695</xdr:colOff>
      <xdr:row>2</xdr:row>
      <xdr:rowOff>45720</xdr:rowOff>
    </xdr:from>
    <xdr:to>
      <xdr:col>14</xdr:col>
      <xdr:colOff>356235</xdr:colOff>
      <xdr:row>24</xdr:row>
      <xdr:rowOff>99062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64D35D-8A2C-4558-BE6F-68B9C0B95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0.90604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128607"/>
          <a:ext cx="6730368" cy="428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CIF = Cost, Insurance, and Freight.  YTD = October 2022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March 2023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International Grains Council and Oil World.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497204</xdr:colOff>
      <xdr:row>0</xdr:row>
      <xdr:rowOff>0</xdr:rowOff>
    </xdr:from>
    <xdr:to>
      <xdr:col>16</xdr:col>
      <xdr:colOff>337184</xdr:colOff>
      <xdr:row>22</xdr:row>
      <xdr:rowOff>116205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C8444C-EE42-4221-A7DD-A0000E8FA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0.85755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06140"/>
          <a:ext cx="6088380" cy="5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Other oils includes coconut oil, cottonseed oil, olive oil, palm kernel oil and peanut oil.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Asterisk (*) denotes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0.86835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15615"/>
          <a:ext cx="6400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Asterisk (*) denotes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85725</xdr:rowOff>
    </xdr:from>
    <xdr:to>
      <xdr:col>14</xdr:col>
      <xdr:colOff>447675</xdr:colOff>
      <xdr:row>18</xdr:row>
      <xdr:rowOff>118110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19C9A1-1B57-46CA-81FC-F5DD3B946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0.84252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619375"/>
          <a:ext cx="5772150" cy="489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USDA,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World Agricultural Outlook Board,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306703</xdr:colOff>
      <xdr:row>0</xdr:row>
      <xdr:rowOff>57150</xdr:rowOff>
    </xdr:from>
    <xdr:to>
      <xdr:col>15</xdr:col>
      <xdr:colOff>173353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672704-3F00-48F9-AD3D-D2304BBB6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0.86558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24225"/>
          <a:ext cx="5772150" cy="516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USDA,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World Agricultural Outlook Board,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World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Agricultural Supply and Demand Estimates.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259078</xdr:colOff>
      <xdr:row>0</xdr:row>
      <xdr:rowOff>38100</xdr:rowOff>
    </xdr:from>
    <xdr:to>
      <xdr:col>14</xdr:col>
      <xdr:colOff>125728</xdr:colOff>
      <xdr:row>21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16443-B20A-4F00-B816-48F6B5CC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0.86558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24225"/>
          <a:ext cx="5772150" cy="516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USDA,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World Agricultural Outlook Board,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World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Agricultural Supply and Demand Estimates.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316228</xdr:colOff>
      <xdr:row>0</xdr:row>
      <xdr:rowOff>133350</xdr:rowOff>
    </xdr:from>
    <xdr:to>
      <xdr:col>12</xdr:col>
      <xdr:colOff>392428</xdr:colOff>
      <xdr:row>21</xdr:row>
      <xdr:rowOff>70485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F6704E-4D7D-4C0F-8C68-554C755AD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105"/>
      <c r="C1" s="10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105"/>
    </row>
    <row r="5" spans="1:3">
      <c r="A5" s="10" t="s">
        <v>3</v>
      </c>
      <c r="B5" s="4"/>
      <c r="C5" s="105"/>
    </row>
    <row r="6" spans="1:3">
      <c r="A6" s="10" t="s">
        <v>4</v>
      </c>
      <c r="B6" s="4"/>
      <c r="C6" s="105"/>
    </row>
    <row r="7" spans="1:3">
      <c r="A7" s="10" t="s">
        <v>5</v>
      </c>
      <c r="B7" s="4"/>
      <c r="C7" s="105"/>
    </row>
    <row r="8" spans="1:3">
      <c r="A8" s="10" t="s">
        <v>6</v>
      </c>
      <c r="B8" s="4"/>
      <c r="C8" s="105"/>
    </row>
    <row r="9" spans="1:3">
      <c r="A9" s="10" t="s">
        <v>7</v>
      </c>
      <c r="B9" s="4"/>
      <c r="C9" s="105"/>
    </row>
    <row r="10" spans="1:3">
      <c r="A10" s="10" t="s">
        <v>8</v>
      </c>
      <c r="B10" s="4"/>
      <c r="C10" s="105"/>
    </row>
    <row r="11" spans="1:3">
      <c r="A11" s="10" t="s">
        <v>9</v>
      </c>
      <c r="B11" s="4"/>
      <c r="C11" s="105"/>
    </row>
    <row r="12" spans="1:3">
      <c r="A12" s="10" t="s">
        <v>10</v>
      </c>
      <c r="B12" s="4"/>
      <c r="C12" s="105"/>
    </row>
    <row r="13" spans="1:3">
      <c r="A13" s="11" t="s">
        <v>11</v>
      </c>
      <c r="B13" s="4"/>
      <c r="C13" s="105"/>
    </row>
    <row r="14" spans="1:3" ht="13.2">
      <c r="A14" s="105"/>
      <c r="B14" s="105"/>
      <c r="C14" s="105"/>
    </row>
    <row r="15" spans="1:3">
      <c r="A15" s="7" t="s">
        <v>12</v>
      </c>
      <c r="B15" s="105"/>
      <c r="C15" s="105"/>
    </row>
    <row r="16" spans="1:3">
      <c r="A16" s="9">
        <v>45062</v>
      </c>
      <c r="B16" s="105"/>
      <c r="C16" s="10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7E7E-57C5-41C0-A9B5-09145F9549E2}">
  <dimension ref="A1:D259"/>
  <sheetViews>
    <sheetView workbookViewId="0">
      <selection activeCell="H23" sqref="H23"/>
    </sheetView>
  </sheetViews>
  <sheetFormatPr defaultColWidth="8.88671875" defaultRowHeight="13.2"/>
  <cols>
    <col min="1" max="1" width="13.109375" style="132" customWidth="1"/>
    <col min="2" max="3" width="8.88671875" style="132"/>
    <col min="4" max="4" width="8" style="132" customWidth="1"/>
    <col min="5" max="16384" width="8.88671875" style="132"/>
  </cols>
  <sheetData>
    <row r="1" spans="1:4" ht="26.4">
      <c r="A1" s="143" t="s">
        <v>148</v>
      </c>
      <c r="B1" s="149" t="s">
        <v>15</v>
      </c>
      <c r="C1" s="149" t="s">
        <v>215</v>
      </c>
      <c r="D1" s="143" t="s">
        <v>191</v>
      </c>
    </row>
    <row r="2" spans="1:4">
      <c r="A2" s="142" t="s">
        <v>109</v>
      </c>
      <c r="B2" s="158">
        <v>4053.2856843585473</v>
      </c>
      <c r="C2" s="158">
        <v>3862.6756843585472</v>
      </c>
      <c r="D2" s="158">
        <v>190.61</v>
      </c>
    </row>
    <row r="3" spans="1:4">
      <c r="A3" s="142" t="s">
        <v>110</v>
      </c>
      <c r="B3" s="158">
        <v>4140.9299162439074</v>
      </c>
      <c r="C3" s="158">
        <v>3944.2009162439076</v>
      </c>
      <c r="D3" s="158">
        <v>196.72900000000001</v>
      </c>
    </row>
    <row r="4" spans="1:4">
      <c r="A4" s="142" t="s">
        <v>111</v>
      </c>
      <c r="B4" s="158">
        <v>4515.5057172106053</v>
      </c>
      <c r="C4" s="158">
        <v>4213.9107172106051</v>
      </c>
      <c r="D4" s="158">
        <v>301.59500000000003</v>
      </c>
    </row>
    <row r="5" spans="1:4">
      <c r="A5" s="142" t="s">
        <v>112</v>
      </c>
      <c r="B5" s="158">
        <v>4735.0385006007273</v>
      </c>
      <c r="C5" s="158">
        <v>4296.9335006007277</v>
      </c>
      <c r="D5" s="158">
        <v>438.10500000000002</v>
      </c>
    </row>
    <row r="6" spans="1:4">
      <c r="A6" s="142" t="s">
        <v>113</v>
      </c>
      <c r="B6" s="158">
        <v>4880.3122800963401</v>
      </c>
      <c r="C6" s="158">
        <v>3971.26028009634</v>
      </c>
      <c r="D6" s="158">
        <v>909.05200000000002</v>
      </c>
    </row>
    <row r="7" spans="1:4">
      <c r="A7" s="142" t="s">
        <v>114</v>
      </c>
      <c r="B7" s="158">
        <v>4476.3405056159772</v>
      </c>
      <c r="C7" s="158">
        <v>3951.7995056159771</v>
      </c>
      <c r="D7" s="158">
        <v>524.54100000000005</v>
      </c>
    </row>
    <row r="8" spans="1:4">
      <c r="A8" s="142" t="s">
        <v>34</v>
      </c>
      <c r="B8" s="158">
        <v>4760.6579864362348</v>
      </c>
      <c r="C8" s="158">
        <v>4503.6789864362345</v>
      </c>
      <c r="D8" s="158">
        <v>256.97899999999998</v>
      </c>
    </row>
    <row r="9" spans="1:4">
      <c r="A9" s="142" t="s">
        <v>37</v>
      </c>
      <c r="B9" s="158">
        <v>4738.2710486205597</v>
      </c>
      <c r="C9" s="158">
        <v>4463.8770486205594</v>
      </c>
      <c r="D9" s="158">
        <v>274.39400000000001</v>
      </c>
    </row>
    <row r="10" spans="1:4">
      <c r="A10" s="142" t="s">
        <v>196</v>
      </c>
      <c r="B10" s="158">
        <v>4570.5169999999998</v>
      </c>
      <c r="C10" s="158">
        <v>4355.2779795298602</v>
      </c>
      <c r="D10" s="158">
        <v>215.23902047013962</v>
      </c>
    </row>
    <row r="11" spans="1:4">
      <c r="A11" s="142" t="s">
        <v>150</v>
      </c>
      <c r="B11" s="158">
        <v>4745.2390204701396</v>
      </c>
      <c r="C11" s="158">
        <v>4410.5610361019117</v>
      </c>
      <c r="D11" s="158">
        <v>334.67798436822795</v>
      </c>
    </row>
    <row r="12" spans="1:4">
      <c r="A12" s="142"/>
    </row>
    <row r="13" spans="1:4">
      <c r="A13" s="142"/>
    </row>
    <row r="14" spans="1:4">
      <c r="A14" s="142"/>
    </row>
    <row r="15" spans="1:4">
      <c r="A15" s="142"/>
    </row>
    <row r="16" spans="1:4">
      <c r="A16" s="142"/>
    </row>
    <row r="17" spans="1:1">
      <c r="A17" s="142"/>
    </row>
    <row r="18" spans="1:1">
      <c r="A18" s="142"/>
    </row>
    <row r="19" spans="1:1">
      <c r="A19" s="142"/>
    </row>
    <row r="20" spans="1:1">
      <c r="A20" s="142"/>
    </row>
    <row r="21" spans="1:1">
      <c r="A21" s="144"/>
    </row>
    <row r="22" spans="1:1">
      <c r="A22" s="144"/>
    </row>
    <row r="23" spans="1:1">
      <c r="A23" s="144"/>
    </row>
    <row r="24" spans="1:1">
      <c r="A24" s="144"/>
    </row>
    <row r="25" spans="1:1">
      <c r="A25" s="144"/>
    </row>
    <row r="26" spans="1:1">
      <c r="A26" s="144"/>
    </row>
    <row r="27" spans="1:1">
      <c r="A27" s="144"/>
    </row>
    <row r="28" spans="1:1">
      <c r="A28" s="144"/>
    </row>
    <row r="29" spans="1:1">
      <c r="A29" s="144"/>
    </row>
    <row r="30" spans="1:1">
      <c r="A30" s="144"/>
    </row>
    <row r="31" spans="1:1">
      <c r="A31" s="144"/>
    </row>
    <row r="32" spans="1:1">
      <c r="A32" s="144"/>
    </row>
    <row r="33" spans="1:1">
      <c r="A33" s="144"/>
    </row>
    <row r="34" spans="1:1">
      <c r="A34" s="144"/>
    </row>
    <row r="35" spans="1:1">
      <c r="A35" s="144"/>
    </row>
    <row r="36" spans="1:1">
      <c r="A36" s="144"/>
    </row>
    <row r="37" spans="1:1">
      <c r="A37" s="144"/>
    </row>
    <row r="38" spans="1:1">
      <c r="A38" s="144"/>
    </row>
    <row r="39" spans="1:1">
      <c r="A39" s="144"/>
    </row>
    <row r="40" spans="1:1">
      <c r="A40" s="144"/>
    </row>
    <row r="41" spans="1:1">
      <c r="A41" s="144"/>
    </row>
    <row r="42" spans="1:1">
      <c r="A42" s="144"/>
    </row>
    <row r="43" spans="1:1">
      <c r="A43" s="144"/>
    </row>
    <row r="44" spans="1:1">
      <c r="A44" s="144"/>
    </row>
    <row r="45" spans="1:1">
      <c r="A45" s="144"/>
    </row>
    <row r="46" spans="1:1">
      <c r="A46" s="144"/>
    </row>
    <row r="47" spans="1:1">
      <c r="A47" s="144"/>
    </row>
    <row r="48" spans="1:1">
      <c r="A48" s="144"/>
    </row>
    <row r="49" spans="1:1">
      <c r="A49" s="144"/>
    </row>
    <row r="50" spans="1:1">
      <c r="A50" s="144"/>
    </row>
    <row r="51" spans="1:1">
      <c r="A51" s="144"/>
    </row>
    <row r="52" spans="1:1">
      <c r="A52" s="144"/>
    </row>
    <row r="53" spans="1:1">
      <c r="A53" s="144"/>
    </row>
    <row r="54" spans="1:1">
      <c r="A54" s="144"/>
    </row>
    <row r="55" spans="1:1">
      <c r="A55" s="144"/>
    </row>
    <row r="56" spans="1:1">
      <c r="A56" s="144"/>
    </row>
    <row r="57" spans="1:1">
      <c r="A57" s="144"/>
    </row>
    <row r="58" spans="1:1">
      <c r="A58" s="144"/>
    </row>
    <row r="59" spans="1:1">
      <c r="A59" s="144"/>
    </row>
    <row r="60" spans="1:1">
      <c r="A60" s="144"/>
    </row>
    <row r="61" spans="1:1">
      <c r="A61" s="144"/>
    </row>
    <row r="62" spans="1:1">
      <c r="A62" s="144"/>
    </row>
    <row r="63" spans="1:1">
      <c r="A63" s="144"/>
    </row>
    <row r="64" spans="1:1">
      <c r="A64" s="144"/>
    </row>
    <row r="65" spans="1:1">
      <c r="A65" s="144"/>
    </row>
    <row r="66" spans="1:1">
      <c r="A66" s="144"/>
    </row>
    <row r="67" spans="1:1">
      <c r="A67" s="144"/>
    </row>
    <row r="68" spans="1:1">
      <c r="A68" s="144"/>
    </row>
    <row r="69" spans="1:1">
      <c r="A69" s="144"/>
    </row>
    <row r="70" spans="1:1">
      <c r="A70" s="144"/>
    </row>
    <row r="71" spans="1:1">
      <c r="A71" s="144"/>
    </row>
    <row r="72" spans="1:1">
      <c r="A72" s="144"/>
    </row>
    <row r="73" spans="1:1">
      <c r="A73" s="144"/>
    </row>
    <row r="74" spans="1:1">
      <c r="A74" s="144"/>
    </row>
    <row r="75" spans="1:1">
      <c r="A75" s="144"/>
    </row>
    <row r="76" spans="1:1">
      <c r="A76" s="144"/>
    </row>
    <row r="77" spans="1:1">
      <c r="A77" s="144"/>
    </row>
    <row r="78" spans="1:1">
      <c r="A78" s="144"/>
    </row>
    <row r="79" spans="1:1">
      <c r="A79" s="144"/>
    </row>
    <row r="80" spans="1:1">
      <c r="A80" s="144"/>
    </row>
    <row r="81" spans="1:1">
      <c r="A81" s="144"/>
    </row>
    <row r="82" spans="1:1">
      <c r="A82" s="144"/>
    </row>
    <row r="83" spans="1:1">
      <c r="A83" s="144"/>
    </row>
    <row r="84" spans="1:1">
      <c r="A84" s="144"/>
    </row>
    <row r="85" spans="1:1">
      <c r="A85" s="144"/>
    </row>
    <row r="86" spans="1:1">
      <c r="A86" s="144"/>
    </row>
    <row r="87" spans="1:1">
      <c r="A87" s="144"/>
    </row>
    <row r="88" spans="1:1">
      <c r="A88" s="144"/>
    </row>
    <row r="89" spans="1:1">
      <c r="A89" s="144"/>
    </row>
    <row r="90" spans="1:1">
      <c r="A90" s="144"/>
    </row>
    <row r="91" spans="1:1">
      <c r="A91" s="144"/>
    </row>
    <row r="92" spans="1:1">
      <c r="A92" s="144"/>
    </row>
    <row r="93" spans="1:1">
      <c r="A93" s="144"/>
    </row>
    <row r="94" spans="1:1">
      <c r="A94" s="144"/>
    </row>
    <row r="95" spans="1:1">
      <c r="A95" s="144"/>
    </row>
    <row r="96" spans="1:1">
      <c r="A96" s="144"/>
    </row>
    <row r="97" spans="1:1">
      <c r="A97" s="144"/>
    </row>
    <row r="98" spans="1:1">
      <c r="A98" s="144"/>
    </row>
    <row r="99" spans="1:1">
      <c r="A99" s="144"/>
    </row>
    <row r="100" spans="1:1">
      <c r="A100" s="144"/>
    </row>
    <row r="101" spans="1:1">
      <c r="A101" s="144"/>
    </row>
    <row r="102" spans="1:1">
      <c r="A102" s="144"/>
    </row>
    <row r="103" spans="1:1">
      <c r="A103" s="144"/>
    </row>
    <row r="104" spans="1:1">
      <c r="A104" s="144"/>
    </row>
    <row r="105" spans="1:1">
      <c r="A105" s="144"/>
    </row>
    <row r="106" spans="1:1">
      <c r="A106" s="144"/>
    </row>
    <row r="107" spans="1:1">
      <c r="A107" s="144"/>
    </row>
    <row r="108" spans="1:1">
      <c r="A108" s="144"/>
    </row>
    <row r="109" spans="1:1">
      <c r="A109" s="144"/>
    </row>
    <row r="110" spans="1:1">
      <c r="A110" s="144"/>
    </row>
    <row r="111" spans="1:1">
      <c r="A111" s="144"/>
    </row>
    <row r="112" spans="1:1">
      <c r="A112" s="144"/>
    </row>
    <row r="113" spans="1:1">
      <c r="A113" s="144"/>
    </row>
    <row r="114" spans="1:1">
      <c r="A114" s="144"/>
    </row>
    <row r="115" spans="1:1">
      <c r="A115" s="144"/>
    </row>
    <row r="116" spans="1:1">
      <c r="A116" s="144"/>
    </row>
    <row r="117" spans="1:1">
      <c r="A117" s="144"/>
    </row>
    <row r="118" spans="1:1">
      <c r="A118" s="144"/>
    </row>
    <row r="119" spans="1:1">
      <c r="A119" s="144"/>
    </row>
    <row r="120" spans="1:1">
      <c r="A120" s="144"/>
    </row>
    <row r="121" spans="1:1">
      <c r="A121" s="144"/>
    </row>
    <row r="122" spans="1:1">
      <c r="A122" s="144"/>
    </row>
    <row r="123" spans="1:1">
      <c r="A123" s="144"/>
    </row>
    <row r="124" spans="1:1">
      <c r="A124" s="144"/>
    </row>
    <row r="125" spans="1:1">
      <c r="A125" s="144"/>
    </row>
    <row r="126" spans="1:1">
      <c r="A126" s="144"/>
    </row>
    <row r="127" spans="1:1">
      <c r="A127" s="144"/>
    </row>
    <row r="128" spans="1:1">
      <c r="A128" s="144"/>
    </row>
    <row r="129" spans="1:1">
      <c r="A129" s="144"/>
    </row>
    <row r="130" spans="1:1">
      <c r="A130" s="144"/>
    </row>
    <row r="131" spans="1:1">
      <c r="A131" s="144"/>
    </row>
    <row r="132" spans="1:1">
      <c r="A132" s="144"/>
    </row>
    <row r="133" spans="1:1">
      <c r="A133" s="144"/>
    </row>
    <row r="134" spans="1:1">
      <c r="A134" s="144"/>
    </row>
    <row r="135" spans="1:1">
      <c r="A135" s="144"/>
    </row>
    <row r="136" spans="1:1">
      <c r="A136" s="144"/>
    </row>
    <row r="137" spans="1:1">
      <c r="A137" s="144"/>
    </row>
    <row r="138" spans="1:1">
      <c r="A138" s="144"/>
    </row>
    <row r="139" spans="1:1">
      <c r="A139" s="144"/>
    </row>
    <row r="140" spans="1:1">
      <c r="A140" s="144"/>
    </row>
    <row r="141" spans="1:1">
      <c r="A141" s="144"/>
    </row>
    <row r="142" spans="1:1">
      <c r="A142" s="144"/>
    </row>
    <row r="143" spans="1:1">
      <c r="A143" s="144"/>
    </row>
    <row r="144" spans="1:1">
      <c r="A144" s="144"/>
    </row>
    <row r="145" spans="1:1">
      <c r="A145" s="144"/>
    </row>
    <row r="146" spans="1:1">
      <c r="A146" s="144"/>
    </row>
    <row r="147" spans="1:1">
      <c r="A147" s="144"/>
    </row>
    <row r="148" spans="1:1">
      <c r="A148" s="144"/>
    </row>
    <row r="149" spans="1:1">
      <c r="A149" s="144"/>
    </row>
    <row r="150" spans="1:1">
      <c r="A150" s="144"/>
    </row>
    <row r="151" spans="1:1">
      <c r="A151" s="144"/>
    </row>
    <row r="152" spans="1:1">
      <c r="A152" s="144"/>
    </row>
    <row r="153" spans="1:1">
      <c r="A153" s="144"/>
    </row>
    <row r="154" spans="1:1">
      <c r="A154" s="144"/>
    </row>
    <row r="155" spans="1:1">
      <c r="A155" s="144"/>
    </row>
    <row r="156" spans="1:1">
      <c r="A156" s="144"/>
    </row>
    <row r="157" spans="1:1">
      <c r="A157" s="144"/>
    </row>
    <row r="158" spans="1:1">
      <c r="A158" s="144"/>
    </row>
    <row r="159" spans="1:1">
      <c r="A159" s="144"/>
    </row>
    <row r="160" spans="1:1">
      <c r="A160" s="144"/>
    </row>
    <row r="161" spans="1:1">
      <c r="A161" s="144"/>
    </row>
    <row r="162" spans="1:1">
      <c r="A162" s="144"/>
    </row>
    <row r="163" spans="1:1">
      <c r="A163" s="144"/>
    </row>
    <row r="164" spans="1:1">
      <c r="A164" s="144"/>
    </row>
    <row r="165" spans="1:1">
      <c r="A165" s="144"/>
    </row>
    <row r="166" spans="1:1">
      <c r="A166" s="144"/>
    </row>
    <row r="167" spans="1:1">
      <c r="A167" s="144"/>
    </row>
    <row r="168" spans="1:1">
      <c r="A168" s="144"/>
    </row>
    <row r="169" spans="1:1">
      <c r="A169" s="144"/>
    </row>
    <row r="170" spans="1:1">
      <c r="A170" s="144"/>
    </row>
    <row r="171" spans="1:1">
      <c r="A171" s="144"/>
    </row>
    <row r="172" spans="1:1">
      <c r="A172" s="144"/>
    </row>
    <row r="173" spans="1:1">
      <c r="A173" s="144"/>
    </row>
    <row r="174" spans="1:1">
      <c r="A174" s="144"/>
    </row>
    <row r="175" spans="1:1">
      <c r="A175" s="144"/>
    </row>
    <row r="176" spans="1:1">
      <c r="A176" s="144"/>
    </row>
    <row r="177" spans="1:1">
      <c r="A177" s="144"/>
    </row>
    <row r="178" spans="1:1">
      <c r="A178" s="144"/>
    </row>
    <row r="179" spans="1:1">
      <c r="A179" s="144"/>
    </row>
    <row r="180" spans="1:1">
      <c r="A180" s="144"/>
    </row>
    <row r="181" spans="1:1">
      <c r="A181" s="144"/>
    </row>
    <row r="182" spans="1:1">
      <c r="A182" s="144"/>
    </row>
    <row r="183" spans="1:1">
      <c r="A183" s="144"/>
    </row>
    <row r="184" spans="1:1">
      <c r="A184" s="144"/>
    </row>
    <row r="185" spans="1:1">
      <c r="A185" s="144"/>
    </row>
    <row r="186" spans="1:1">
      <c r="A186" s="144"/>
    </row>
    <row r="187" spans="1:1">
      <c r="A187" s="144"/>
    </row>
    <row r="188" spans="1:1">
      <c r="A188" s="144"/>
    </row>
    <row r="189" spans="1:1">
      <c r="A189" s="144"/>
    </row>
    <row r="190" spans="1:1">
      <c r="A190" s="147"/>
    </row>
    <row r="191" spans="1:1">
      <c r="A191" s="147"/>
    </row>
    <row r="192" spans="1:1">
      <c r="A192" s="147"/>
    </row>
    <row r="193" spans="1:1">
      <c r="A193" s="147"/>
    </row>
    <row r="194" spans="1:1">
      <c r="A194" s="147"/>
    </row>
    <row r="195" spans="1:1">
      <c r="A195" s="144"/>
    </row>
    <row r="196" spans="1:1">
      <c r="A196" s="144"/>
    </row>
    <row r="197" spans="1:1">
      <c r="A197" s="144"/>
    </row>
    <row r="198" spans="1:1">
      <c r="A198" s="144"/>
    </row>
    <row r="199" spans="1:1">
      <c r="A199" s="144"/>
    </row>
    <row r="200" spans="1:1">
      <c r="A200" s="144"/>
    </row>
    <row r="201" spans="1:1">
      <c r="A201" s="144"/>
    </row>
    <row r="202" spans="1:1">
      <c r="A202" s="144"/>
    </row>
    <row r="203" spans="1:1">
      <c r="A203" s="144"/>
    </row>
    <row r="204" spans="1:1">
      <c r="A204" s="144"/>
    </row>
    <row r="205" spans="1:1">
      <c r="A205" s="144"/>
    </row>
    <row r="206" spans="1:1">
      <c r="A206" s="144"/>
    </row>
    <row r="207" spans="1:1">
      <c r="A207" s="144"/>
    </row>
    <row r="208" spans="1:1">
      <c r="A208" s="144"/>
    </row>
    <row r="209" spans="1:1">
      <c r="A209" s="144"/>
    </row>
    <row r="210" spans="1:1">
      <c r="A210" s="144"/>
    </row>
    <row r="211" spans="1:1">
      <c r="A211" s="144"/>
    </row>
    <row r="212" spans="1:1">
      <c r="A212" s="144"/>
    </row>
    <row r="213" spans="1:1">
      <c r="A213" s="144"/>
    </row>
    <row r="214" spans="1:1">
      <c r="A214" s="144"/>
    </row>
    <row r="215" spans="1:1">
      <c r="A215" s="144"/>
    </row>
    <row r="216" spans="1:1">
      <c r="A216" s="144"/>
    </row>
    <row r="217" spans="1:1">
      <c r="A217" s="144"/>
    </row>
    <row r="218" spans="1:1">
      <c r="A218" s="144"/>
    </row>
    <row r="219" spans="1:1">
      <c r="A219" s="144"/>
    </row>
    <row r="220" spans="1:1">
      <c r="A220" s="144"/>
    </row>
    <row r="221" spans="1:1">
      <c r="A221" s="144"/>
    </row>
    <row r="222" spans="1:1">
      <c r="A222" s="144"/>
    </row>
    <row r="223" spans="1:1">
      <c r="A223" s="144"/>
    </row>
    <row r="224" spans="1:1">
      <c r="A224" s="144"/>
    </row>
    <row r="225" spans="1:1">
      <c r="A225" s="144"/>
    </row>
    <row r="226" spans="1:1">
      <c r="A226" s="144"/>
    </row>
    <row r="227" spans="1:1">
      <c r="A227" s="144"/>
    </row>
    <row r="228" spans="1:1">
      <c r="A228" s="144"/>
    </row>
    <row r="229" spans="1:1">
      <c r="A229" s="144"/>
    </row>
    <row r="230" spans="1:1">
      <c r="A230" s="144"/>
    </row>
    <row r="231" spans="1:1">
      <c r="A231" s="144"/>
    </row>
    <row r="232" spans="1:1">
      <c r="A232" s="144"/>
    </row>
    <row r="233" spans="1:1">
      <c r="A233" s="144"/>
    </row>
    <row r="234" spans="1:1">
      <c r="A234" s="144"/>
    </row>
    <row r="235" spans="1:1">
      <c r="A235" s="144"/>
    </row>
    <row r="236" spans="1:1">
      <c r="A236" s="144"/>
    </row>
    <row r="237" spans="1:1">
      <c r="A237" s="144"/>
    </row>
    <row r="238" spans="1:1">
      <c r="A238" s="144"/>
    </row>
    <row r="239" spans="1:1">
      <c r="A239" s="144"/>
    </row>
    <row r="240" spans="1:1">
      <c r="A240" s="144"/>
    </row>
    <row r="241" spans="1:1">
      <c r="A241" s="144"/>
    </row>
    <row r="242" spans="1:1">
      <c r="A242" s="144"/>
    </row>
    <row r="243" spans="1:1">
      <c r="A243" s="144"/>
    </row>
    <row r="244" spans="1:1">
      <c r="A244" s="144"/>
    </row>
    <row r="245" spans="1:1">
      <c r="A245" s="144"/>
    </row>
    <row r="246" spans="1:1">
      <c r="A246" s="144"/>
    </row>
    <row r="247" spans="1:1">
      <c r="A247" s="144"/>
    </row>
    <row r="248" spans="1:1">
      <c r="A248" s="144"/>
    </row>
    <row r="249" spans="1:1">
      <c r="A249" s="144"/>
    </row>
    <row r="250" spans="1:1">
      <c r="A250" s="144"/>
    </row>
    <row r="251" spans="1:1">
      <c r="A251" s="144"/>
    </row>
    <row r="252" spans="1:1">
      <c r="A252" s="144"/>
    </row>
    <row r="253" spans="1:1">
      <c r="A253" s="144"/>
    </row>
    <row r="254" spans="1:1">
      <c r="A254" s="144"/>
    </row>
    <row r="255" spans="1:1">
      <c r="A255" s="144"/>
    </row>
    <row r="256" spans="1:1">
      <c r="A256" s="144"/>
    </row>
    <row r="257" spans="1:1">
      <c r="A257" s="144"/>
    </row>
    <row r="258" spans="1:1">
      <c r="A258" s="144"/>
    </row>
    <row r="259" spans="1:1">
      <c r="A259" s="14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FA71-D6E9-4835-BCEC-D760444BE9DF}">
  <dimension ref="A1:J269"/>
  <sheetViews>
    <sheetView workbookViewId="0">
      <selection activeCell="I25" sqref="I25"/>
    </sheetView>
  </sheetViews>
  <sheetFormatPr defaultColWidth="8.88671875" defaultRowHeight="13.2"/>
  <cols>
    <col min="1" max="1" width="13.109375" style="132" customWidth="1"/>
    <col min="2" max="2" width="12" style="132" bestFit="1" customWidth="1"/>
    <col min="3" max="3" width="10.6640625" style="132" bestFit="1" customWidth="1"/>
    <col min="4" max="4" width="14.5546875" style="132" customWidth="1"/>
    <col min="5" max="16384" width="8.88671875" style="132"/>
  </cols>
  <sheetData>
    <row r="1" spans="1:10" ht="39.6">
      <c r="A1" s="157" t="s">
        <v>148</v>
      </c>
      <c r="B1" s="157" t="s">
        <v>15</v>
      </c>
      <c r="C1" s="157" t="s">
        <v>197</v>
      </c>
      <c r="D1" s="157" t="s">
        <v>198</v>
      </c>
      <c r="E1" s="157" t="s">
        <v>30</v>
      </c>
    </row>
    <row r="2" spans="1:10">
      <c r="A2" s="142" t="s">
        <v>109</v>
      </c>
      <c r="B2" s="156">
        <v>22.828092465326804</v>
      </c>
      <c r="C2" s="156">
        <v>5.0387700000000004</v>
      </c>
      <c r="D2" s="156">
        <v>13.920131077093275</v>
      </c>
      <c r="E2" s="156">
        <v>2.014373388233528</v>
      </c>
      <c r="F2" s="146"/>
      <c r="G2" s="146"/>
      <c r="H2" s="146"/>
      <c r="I2" s="146"/>
      <c r="J2" s="146"/>
    </row>
    <row r="3" spans="1:10">
      <c r="A3" s="142" t="s">
        <v>110</v>
      </c>
      <c r="B3" s="156">
        <v>24.091602320751409</v>
      </c>
      <c r="C3" s="156">
        <v>5.67</v>
      </c>
      <c r="D3" s="156">
        <v>14.492247412149666</v>
      </c>
      <c r="E3" s="156">
        <v>2.242541908601738</v>
      </c>
      <c r="F3" s="146"/>
      <c r="G3" s="146"/>
      <c r="H3" s="146"/>
      <c r="I3" s="146"/>
      <c r="J3" s="146"/>
    </row>
    <row r="4" spans="1:10">
      <c r="A4" s="142" t="s">
        <v>111</v>
      </c>
      <c r="B4" s="156">
        <v>24.128933269060301</v>
      </c>
      <c r="C4" s="156">
        <v>6.2003000000000004</v>
      </c>
      <c r="D4" s="156">
        <v>13.662016352975796</v>
      </c>
      <c r="E4" s="156">
        <v>2.5556629160845037</v>
      </c>
      <c r="F4" s="146"/>
      <c r="G4" s="146"/>
      <c r="H4" s="146"/>
      <c r="I4" s="146"/>
      <c r="J4" s="146"/>
    </row>
    <row r="5" spans="1:10">
      <c r="A5" s="142" t="s">
        <v>112</v>
      </c>
      <c r="B5" s="156">
        <v>25.818682172426755</v>
      </c>
      <c r="C5" s="156">
        <v>7.33371</v>
      </c>
      <c r="D5" s="156">
        <v>14.04650060750757</v>
      </c>
      <c r="E5" s="156">
        <v>2.4430375649191838</v>
      </c>
      <c r="F5" s="146"/>
      <c r="G5" s="146"/>
      <c r="H5" s="146"/>
      <c r="I5" s="146"/>
      <c r="J5" s="146"/>
    </row>
    <row r="6" spans="1:10">
      <c r="A6" s="142" t="s">
        <v>113</v>
      </c>
      <c r="B6" s="156">
        <v>26.589894973010903</v>
      </c>
      <c r="C6" s="156">
        <v>8.6632999999999996</v>
      </c>
      <c r="D6" s="156">
        <v>14.210857005018134</v>
      </c>
      <c r="E6" s="156">
        <v>1.9404219679927719</v>
      </c>
      <c r="F6" s="146"/>
      <c r="G6" s="146"/>
      <c r="H6" s="146"/>
      <c r="I6" s="146"/>
      <c r="J6" s="146"/>
    </row>
    <row r="7" spans="1:10">
      <c r="A7" s="142" t="s">
        <v>114</v>
      </c>
      <c r="B7" s="156">
        <v>27.006370543520113</v>
      </c>
      <c r="C7" s="156">
        <v>8.6578199999999992</v>
      </c>
      <c r="D7" s="156">
        <v>13.659180563573729</v>
      </c>
      <c r="E7" s="156">
        <v>2.8366949799463836</v>
      </c>
      <c r="F7" s="146"/>
      <c r="G7" s="146"/>
      <c r="H7" s="146"/>
      <c r="I7" s="146"/>
      <c r="J7" s="146"/>
    </row>
    <row r="8" spans="1:10">
      <c r="A8" s="142" t="s">
        <v>34</v>
      </c>
      <c r="B8" s="156">
        <v>27.176923792227427</v>
      </c>
      <c r="C8" s="156">
        <v>8.92</v>
      </c>
      <c r="D8" s="156">
        <v>14.394331644053418</v>
      </c>
      <c r="E8" s="156">
        <v>1.731359148174006</v>
      </c>
      <c r="F8" s="146"/>
      <c r="G8" s="146"/>
      <c r="H8" s="146"/>
      <c r="I8" s="146"/>
      <c r="J8" s="146"/>
    </row>
    <row r="9" spans="1:10">
      <c r="A9" s="142" t="s">
        <v>37</v>
      </c>
      <c r="B9" s="156">
        <v>28.589694390597565</v>
      </c>
      <c r="C9" s="156">
        <v>10.348190000000001</v>
      </c>
      <c r="D9" s="156">
        <v>14.476912760305853</v>
      </c>
      <c r="E9" s="156">
        <v>1.7734436302917098</v>
      </c>
      <c r="F9" s="146"/>
      <c r="G9" s="146"/>
      <c r="H9" s="146"/>
      <c r="I9" s="146"/>
      <c r="J9" s="146"/>
    </row>
    <row r="10" spans="1:10">
      <c r="A10" s="142" t="s">
        <v>196</v>
      </c>
      <c r="B10" s="156">
        <v>28.511148000000002</v>
      </c>
      <c r="C10" s="156">
        <v>11.6</v>
      </c>
      <c r="D10" s="156">
        <v>14.525</v>
      </c>
      <c r="E10" s="156">
        <v>0.45</v>
      </c>
      <c r="F10" s="146"/>
      <c r="G10" s="146"/>
      <c r="H10" s="146"/>
      <c r="I10" s="146"/>
      <c r="J10" s="146"/>
    </row>
    <row r="11" spans="1:10">
      <c r="A11" s="142" t="s">
        <v>150</v>
      </c>
      <c r="B11" s="156">
        <v>29.431148</v>
      </c>
      <c r="C11" s="156">
        <v>12.5</v>
      </c>
      <c r="D11" s="156">
        <v>14.5</v>
      </c>
      <c r="E11" s="156">
        <v>0.6</v>
      </c>
      <c r="F11" s="146"/>
      <c r="G11" s="146"/>
      <c r="H11" s="146"/>
      <c r="I11" s="146"/>
      <c r="J11" s="146"/>
    </row>
    <row r="12" spans="1:10">
      <c r="A12" s="142"/>
      <c r="B12" s="99"/>
      <c r="C12" s="99"/>
      <c r="D12" s="99"/>
      <c r="E12" s="146"/>
      <c r="F12" s="146"/>
    </row>
    <row r="13" spans="1:10">
      <c r="A13" s="142"/>
      <c r="B13" s="99"/>
      <c r="C13" s="99"/>
      <c r="D13" s="99"/>
      <c r="E13" s="146"/>
      <c r="F13" s="146"/>
    </row>
    <row r="14" spans="1:10">
      <c r="A14" s="142"/>
      <c r="B14" s="99"/>
      <c r="C14" s="99"/>
      <c r="D14" s="99"/>
      <c r="E14" s="146"/>
      <c r="F14" s="146"/>
    </row>
    <row r="15" spans="1:10">
      <c r="A15" s="142"/>
      <c r="B15" s="99"/>
      <c r="C15" s="99"/>
      <c r="D15" s="99"/>
      <c r="E15" s="146"/>
      <c r="F15" s="146"/>
    </row>
    <row r="16" spans="1:10">
      <c r="A16" s="142"/>
      <c r="B16" s="99"/>
      <c r="C16" s="99"/>
      <c r="D16" s="99"/>
      <c r="E16" s="146"/>
      <c r="F16" s="146"/>
    </row>
    <row r="17" spans="1:6">
      <c r="A17" s="142"/>
      <c r="B17" s="99"/>
      <c r="C17" s="99"/>
      <c r="D17" s="99"/>
      <c r="E17" s="146"/>
      <c r="F17" s="146"/>
    </row>
    <row r="18" spans="1:6">
      <c r="A18" s="142"/>
      <c r="B18" s="99"/>
      <c r="C18" s="99"/>
      <c r="D18" s="99"/>
      <c r="E18" s="146"/>
      <c r="F18" s="146"/>
    </row>
    <row r="19" spans="1:6">
      <c r="A19" s="142"/>
      <c r="B19" s="99"/>
      <c r="C19" s="99"/>
      <c r="D19" s="99"/>
      <c r="E19" s="146"/>
      <c r="F19" s="146"/>
    </row>
    <row r="20" spans="1:6">
      <c r="A20" s="142"/>
      <c r="B20" s="99"/>
      <c r="C20" s="99"/>
      <c r="D20" s="99"/>
      <c r="E20" s="146"/>
      <c r="F20" s="146"/>
    </row>
    <row r="21" spans="1:6">
      <c r="A21" s="142"/>
      <c r="B21" s="99"/>
      <c r="C21" s="99"/>
      <c r="D21" s="99"/>
      <c r="E21" s="146"/>
      <c r="F21" s="146"/>
    </row>
    <row r="22" spans="1:6">
      <c r="A22" s="142"/>
      <c r="B22" s="99"/>
      <c r="C22" s="99"/>
      <c r="D22" s="99"/>
      <c r="E22" s="146"/>
      <c r="F22" s="146"/>
    </row>
    <row r="23" spans="1:6">
      <c r="A23" s="142"/>
      <c r="B23" s="99"/>
      <c r="C23" s="99"/>
      <c r="D23" s="99"/>
      <c r="E23" s="146"/>
      <c r="F23" s="146"/>
    </row>
    <row r="24" spans="1:6">
      <c r="A24" s="142"/>
      <c r="B24" s="99"/>
      <c r="C24" s="99"/>
      <c r="D24" s="99"/>
      <c r="E24" s="146"/>
      <c r="F24" s="146"/>
    </row>
    <row r="25" spans="1:6">
      <c r="A25" s="142"/>
      <c r="B25" s="99"/>
      <c r="C25" s="99"/>
      <c r="D25" s="99"/>
      <c r="E25" s="146"/>
      <c r="F25" s="146"/>
    </row>
    <row r="26" spans="1:6">
      <c r="A26" s="142"/>
      <c r="B26" s="99"/>
      <c r="C26" s="99"/>
      <c r="D26" s="99"/>
      <c r="E26" s="146"/>
      <c r="F26" s="146"/>
    </row>
    <row r="27" spans="1:6">
      <c r="A27" s="142"/>
      <c r="B27" s="99"/>
      <c r="C27" s="99"/>
      <c r="D27" s="99"/>
      <c r="F27" s="146"/>
    </row>
    <row r="28" spans="1:6">
      <c r="A28" s="142"/>
      <c r="B28" s="99"/>
      <c r="C28" s="99"/>
      <c r="D28" s="99"/>
      <c r="E28" s="146"/>
      <c r="F28" s="146"/>
    </row>
    <row r="29" spans="1:6">
      <c r="A29" s="142"/>
      <c r="B29" s="99"/>
      <c r="C29" s="99"/>
      <c r="D29" s="99"/>
      <c r="E29" s="146"/>
      <c r="F29" s="146"/>
    </row>
    <row r="30" spans="1:6">
      <c r="A30" s="142"/>
      <c r="B30" s="99"/>
      <c r="C30" s="99"/>
      <c r="D30" s="99"/>
      <c r="E30" s="146"/>
      <c r="F30" s="146"/>
    </row>
    <row r="31" spans="1:6">
      <c r="A31" s="144"/>
      <c r="B31" s="145"/>
      <c r="C31" s="145"/>
      <c r="D31" s="146"/>
      <c r="E31" s="146"/>
      <c r="F31" s="146"/>
    </row>
    <row r="32" spans="1:6">
      <c r="A32" s="144"/>
      <c r="B32" s="145"/>
      <c r="C32" s="145"/>
      <c r="D32" s="146"/>
      <c r="E32" s="146"/>
      <c r="F32" s="146"/>
    </row>
    <row r="33" spans="1:6">
      <c r="A33" s="144"/>
      <c r="B33" s="145"/>
      <c r="C33" s="145"/>
      <c r="D33" s="146"/>
      <c r="E33" s="146"/>
      <c r="F33" s="146"/>
    </row>
    <row r="34" spans="1:6">
      <c r="A34" s="144"/>
      <c r="B34" s="145"/>
      <c r="C34" s="145"/>
      <c r="D34" s="146"/>
      <c r="E34" s="146"/>
      <c r="F34" s="146"/>
    </row>
    <row r="35" spans="1:6">
      <c r="A35" s="144"/>
      <c r="B35" s="145"/>
      <c r="C35" s="145"/>
      <c r="D35" s="146"/>
      <c r="E35" s="146"/>
      <c r="F35" s="146"/>
    </row>
    <row r="36" spans="1:6">
      <c r="A36" s="144"/>
      <c r="B36" s="145"/>
      <c r="C36" s="145"/>
      <c r="D36" s="146"/>
      <c r="E36" s="146"/>
      <c r="F36" s="146"/>
    </row>
    <row r="37" spans="1:6">
      <c r="A37" s="144"/>
      <c r="B37" s="145"/>
      <c r="C37" s="145"/>
      <c r="D37" s="146"/>
      <c r="E37" s="146"/>
      <c r="F37" s="146"/>
    </row>
    <row r="38" spans="1:6">
      <c r="A38" s="144"/>
      <c r="B38" s="145"/>
      <c r="C38" s="145"/>
      <c r="D38" s="146"/>
      <c r="E38" s="146"/>
      <c r="F38" s="146"/>
    </row>
    <row r="39" spans="1:6">
      <c r="A39" s="144"/>
      <c r="B39" s="145"/>
      <c r="C39" s="145"/>
      <c r="D39" s="146"/>
      <c r="E39" s="146"/>
      <c r="F39" s="146"/>
    </row>
    <row r="40" spans="1:6">
      <c r="A40" s="144"/>
      <c r="B40" s="145"/>
      <c r="C40" s="145"/>
      <c r="D40" s="146"/>
      <c r="E40" s="146"/>
      <c r="F40" s="146"/>
    </row>
    <row r="41" spans="1:6">
      <c r="A41" s="144"/>
      <c r="B41" s="145"/>
      <c r="C41" s="145"/>
      <c r="D41" s="146"/>
      <c r="E41" s="146"/>
      <c r="F41" s="146"/>
    </row>
    <row r="42" spans="1:6">
      <c r="A42" s="144"/>
      <c r="B42" s="145"/>
      <c r="C42" s="145"/>
      <c r="D42" s="146"/>
      <c r="E42" s="146"/>
      <c r="F42" s="146"/>
    </row>
    <row r="43" spans="1:6">
      <c r="A43" s="144"/>
      <c r="B43" s="145"/>
      <c r="C43" s="145"/>
      <c r="D43" s="146"/>
      <c r="E43" s="146"/>
      <c r="F43" s="146"/>
    </row>
    <row r="44" spans="1:6">
      <c r="A44" s="144"/>
      <c r="B44" s="145"/>
      <c r="C44" s="145"/>
      <c r="D44" s="146"/>
      <c r="E44" s="146"/>
      <c r="F44" s="146"/>
    </row>
    <row r="45" spans="1:6">
      <c r="A45" s="144"/>
      <c r="B45" s="145"/>
      <c r="C45" s="145"/>
      <c r="D45" s="146"/>
      <c r="E45" s="146"/>
      <c r="F45" s="146"/>
    </row>
    <row r="46" spans="1:6">
      <c r="A46" s="144"/>
      <c r="B46" s="145"/>
      <c r="C46" s="145"/>
      <c r="D46" s="146"/>
      <c r="E46" s="146"/>
      <c r="F46" s="146"/>
    </row>
    <row r="47" spans="1:6">
      <c r="A47" s="144"/>
      <c r="B47" s="145"/>
      <c r="C47" s="145"/>
      <c r="D47" s="146"/>
      <c r="E47" s="146"/>
      <c r="F47" s="146"/>
    </row>
    <row r="48" spans="1:6">
      <c r="A48" s="144"/>
      <c r="B48" s="145"/>
      <c r="C48" s="145"/>
      <c r="D48" s="146"/>
      <c r="E48" s="146"/>
      <c r="F48" s="146"/>
    </row>
    <row r="49" spans="1:6">
      <c r="A49" s="144"/>
      <c r="B49" s="145"/>
      <c r="C49" s="145"/>
      <c r="D49" s="146"/>
      <c r="E49" s="146"/>
      <c r="F49" s="146"/>
    </row>
    <row r="50" spans="1:6">
      <c r="A50" s="144"/>
      <c r="B50" s="145"/>
      <c r="C50" s="145"/>
      <c r="D50" s="146"/>
      <c r="E50" s="146"/>
      <c r="F50" s="146"/>
    </row>
    <row r="51" spans="1:6">
      <c r="A51" s="144"/>
      <c r="B51" s="145"/>
      <c r="C51" s="145"/>
      <c r="D51" s="146"/>
      <c r="E51" s="146"/>
      <c r="F51" s="146"/>
    </row>
    <row r="52" spans="1:6">
      <c r="A52" s="144"/>
      <c r="B52" s="145"/>
      <c r="C52" s="145"/>
      <c r="D52" s="146"/>
      <c r="E52" s="146"/>
      <c r="F52" s="146"/>
    </row>
    <row r="53" spans="1:6">
      <c r="A53" s="144"/>
      <c r="B53" s="145"/>
      <c r="C53" s="145"/>
      <c r="D53" s="146"/>
      <c r="E53" s="146"/>
      <c r="F53" s="146"/>
    </row>
    <row r="54" spans="1:6">
      <c r="A54" s="144"/>
      <c r="D54" s="146"/>
      <c r="E54" s="146"/>
      <c r="F54" s="146"/>
    </row>
    <row r="55" spans="1:6">
      <c r="A55" s="144"/>
    </row>
    <row r="56" spans="1:6">
      <c r="A56" s="144"/>
    </row>
    <row r="57" spans="1:6">
      <c r="A57" s="144"/>
    </row>
    <row r="58" spans="1:6">
      <c r="A58" s="144"/>
    </row>
    <row r="59" spans="1:6">
      <c r="A59" s="144"/>
    </row>
    <row r="60" spans="1:6">
      <c r="A60" s="144"/>
    </row>
    <row r="61" spans="1:6">
      <c r="A61" s="144"/>
    </row>
    <row r="62" spans="1:6">
      <c r="A62" s="144"/>
    </row>
    <row r="63" spans="1:6">
      <c r="A63" s="144"/>
    </row>
    <row r="64" spans="1:6">
      <c r="A64" s="144"/>
    </row>
    <row r="65" spans="1:1">
      <c r="A65" s="144"/>
    </row>
    <row r="66" spans="1:1">
      <c r="A66" s="144"/>
    </row>
    <row r="67" spans="1:1">
      <c r="A67" s="144"/>
    </row>
    <row r="68" spans="1:1">
      <c r="A68" s="144"/>
    </row>
    <row r="69" spans="1:1">
      <c r="A69" s="144"/>
    </row>
    <row r="70" spans="1:1">
      <c r="A70" s="144"/>
    </row>
    <row r="71" spans="1:1">
      <c r="A71" s="144"/>
    </row>
    <row r="72" spans="1:1">
      <c r="A72" s="144"/>
    </row>
    <row r="73" spans="1:1">
      <c r="A73" s="144"/>
    </row>
    <row r="74" spans="1:1">
      <c r="A74" s="144"/>
    </row>
    <row r="75" spans="1:1">
      <c r="A75" s="144"/>
    </row>
    <row r="76" spans="1:1">
      <c r="A76" s="144"/>
    </row>
    <row r="77" spans="1:1">
      <c r="A77" s="144"/>
    </row>
    <row r="78" spans="1:1">
      <c r="A78" s="144"/>
    </row>
    <row r="79" spans="1:1">
      <c r="A79" s="144"/>
    </row>
    <row r="80" spans="1:1">
      <c r="A80" s="144"/>
    </row>
    <row r="81" spans="1:1">
      <c r="A81" s="144"/>
    </row>
    <row r="82" spans="1:1">
      <c r="A82" s="144"/>
    </row>
    <row r="83" spans="1:1">
      <c r="A83" s="144"/>
    </row>
    <row r="84" spans="1:1">
      <c r="A84" s="144"/>
    </row>
    <row r="85" spans="1:1">
      <c r="A85" s="144"/>
    </row>
    <row r="86" spans="1:1">
      <c r="A86" s="144"/>
    </row>
    <row r="87" spans="1:1">
      <c r="A87" s="144"/>
    </row>
    <row r="88" spans="1:1">
      <c r="A88" s="144"/>
    </row>
    <row r="89" spans="1:1">
      <c r="A89" s="144"/>
    </row>
    <row r="90" spans="1:1">
      <c r="A90" s="144"/>
    </row>
    <row r="91" spans="1:1">
      <c r="A91" s="144"/>
    </row>
    <row r="92" spans="1:1">
      <c r="A92" s="144"/>
    </row>
    <row r="93" spans="1:1">
      <c r="A93" s="144"/>
    </row>
    <row r="94" spans="1:1">
      <c r="A94" s="144"/>
    </row>
    <row r="95" spans="1:1">
      <c r="A95" s="144"/>
    </row>
    <row r="96" spans="1:1">
      <c r="A96" s="144"/>
    </row>
    <row r="97" spans="1:1">
      <c r="A97" s="144"/>
    </row>
    <row r="98" spans="1:1">
      <c r="A98" s="144"/>
    </row>
    <row r="99" spans="1:1">
      <c r="A99" s="144"/>
    </row>
    <row r="100" spans="1:1">
      <c r="A100" s="144"/>
    </row>
    <row r="101" spans="1:1">
      <c r="A101" s="144"/>
    </row>
    <row r="102" spans="1:1">
      <c r="A102" s="144"/>
    </row>
    <row r="103" spans="1:1">
      <c r="A103" s="144"/>
    </row>
    <row r="104" spans="1:1">
      <c r="A104" s="144"/>
    </row>
    <row r="105" spans="1:1">
      <c r="A105" s="144"/>
    </row>
    <row r="106" spans="1:1">
      <c r="A106" s="144"/>
    </row>
    <row r="107" spans="1:1">
      <c r="A107" s="144"/>
    </row>
    <row r="108" spans="1:1">
      <c r="A108" s="144"/>
    </row>
    <row r="109" spans="1:1">
      <c r="A109" s="144"/>
    </row>
    <row r="110" spans="1:1">
      <c r="A110" s="144"/>
    </row>
    <row r="111" spans="1:1">
      <c r="A111" s="144"/>
    </row>
    <row r="112" spans="1:1">
      <c r="A112" s="144"/>
    </row>
    <row r="113" spans="1:1">
      <c r="A113" s="144"/>
    </row>
    <row r="114" spans="1:1">
      <c r="A114" s="144"/>
    </row>
    <row r="115" spans="1:1">
      <c r="A115" s="144"/>
    </row>
    <row r="116" spans="1:1">
      <c r="A116" s="144"/>
    </row>
    <row r="117" spans="1:1">
      <c r="A117" s="144"/>
    </row>
    <row r="118" spans="1:1">
      <c r="A118" s="144"/>
    </row>
    <row r="119" spans="1:1">
      <c r="A119" s="144"/>
    </row>
    <row r="120" spans="1:1">
      <c r="A120" s="144"/>
    </row>
    <row r="121" spans="1:1">
      <c r="A121" s="144"/>
    </row>
    <row r="122" spans="1:1">
      <c r="A122" s="144"/>
    </row>
    <row r="123" spans="1:1">
      <c r="A123" s="144"/>
    </row>
    <row r="124" spans="1:1">
      <c r="A124" s="144"/>
    </row>
    <row r="125" spans="1:1">
      <c r="A125" s="144"/>
    </row>
    <row r="126" spans="1:1">
      <c r="A126" s="144"/>
    </row>
    <row r="127" spans="1:1">
      <c r="A127" s="144"/>
    </row>
    <row r="128" spans="1:1">
      <c r="A128" s="144"/>
    </row>
    <row r="129" spans="1:1">
      <c r="A129" s="144"/>
    </row>
    <row r="130" spans="1:1">
      <c r="A130" s="144"/>
    </row>
    <row r="131" spans="1:1">
      <c r="A131" s="144"/>
    </row>
    <row r="132" spans="1:1">
      <c r="A132" s="144"/>
    </row>
    <row r="133" spans="1:1">
      <c r="A133" s="144"/>
    </row>
    <row r="134" spans="1:1">
      <c r="A134" s="144"/>
    </row>
    <row r="135" spans="1:1">
      <c r="A135" s="144"/>
    </row>
    <row r="136" spans="1:1">
      <c r="A136" s="144"/>
    </row>
    <row r="137" spans="1:1">
      <c r="A137" s="144"/>
    </row>
    <row r="138" spans="1:1">
      <c r="A138" s="144"/>
    </row>
    <row r="139" spans="1:1">
      <c r="A139" s="144"/>
    </row>
    <row r="140" spans="1:1">
      <c r="A140" s="144"/>
    </row>
    <row r="141" spans="1:1">
      <c r="A141" s="144"/>
    </row>
    <row r="142" spans="1:1">
      <c r="A142" s="144"/>
    </row>
    <row r="143" spans="1:1">
      <c r="A143" s="144"/>
    </row>
    <row r="144" spans="1:1">
      <c r="A144" s="144"/>
    </row>
    <row r="145" spans="1:1">
      <c r="A145" s="144"/>
    </row>
    <row r="146" spans="1:1">
      <c r="A146" s="144"/>
    </row>
    <row r="147" spans="1:1">
      <c r="A147" s="144"/>
    </row>
    <row r="148" spans="1:1">
      <c r="A148" s="144"/>
    </row>
    <row r="149" spans="1:1">
      <c r="A149" s="144"/>
    </row>
    <row r="150" spans="1:1">
      <c r="A150" s="144"/>
    </row>
    <row r="151" spans="1:1">
      <c r="A151" s="144"/>
    </row>
    <row r="152" spans="1:1">
      <c r="A152" s="144"/>
    </row>
    <row r="153" spans="1:1">
      <c r="A153" s="144"/>
    </row>
    <row r="154" spans="1:1">
      <c r="A154" s="144"/>
    </row>
    <row r="155" spans="1:1">
      <c r="A155" s="144"/>
    </row>
    <row r="156" spans="1:1">
      <c r="A156" s="144"/>
    </row>
    <row r="157" spans="1:1">
      <c r="A157" s="144"/>
    </row>
    <row r="158" spans="1:1">
      <c r="A158" s="144"/>
    </row>
    <row r="159" spans="1:1">
      <c r="A159" s="144"/>
    </row>
    <row r="160" spans="1:1">
      <c r="A160" s="144"/>
    </row>
    <row r="161" spans="1:1">
      <c r="A161" s="144"/>
    </row>
    <row r="162" spans="1:1">
      <c r="A162" s="144"/>
    </row>
    <row r="163" spans="1:1">
      <c r="A163" s="144"/>
    </row>
    <row r="164" spans="1:1">
      <c r="A164" s="144"/>
    </row>
    <row r="165" spans="1:1">
      <c r="A165" s="144"/>
    </row>
    <row r="166" spans="1:1">
      <c r="A166" s="144"/>
    </row>
    <row r="167" spans="1:1">
      <c r="A167" s="144"/>
    </row>
    <row r="168" spans="1:1">
      <c r="A168" s="144"/>
    </row>
    <row r="169" spans="1:1">
      <c r="A169" s="144"/>
    </row>
    <row r="170" spans="1:1">
      <c r="A170" s="144"/>
    </row>
    <row r="171" spans="1:1">
      <c r="A171" s="144"/>
    </row>
    <row r="172" spans="1:1">
      <c r="A172" s="144"/>
    </row>
    <row r="173" spans="1:1">
      <c r="A173" s="144"/>
    </row>
    <row r="174" spans="1:1">
      <c r="A174" s="144"/>
    </row>
    <row r="175" spans="1:1">
      <c r="A175" s="144"/>
    </row>
    <row r="176" spans="1:1">
      <c r="A176" s="144"/>
    </row>
    <row r="177" spans="1:1">
      <c r="A177" s="144"/>
    </row>
    <row r="178" spans="1:1">
      <c r="A178" s="144"/>
    </row>
    <row r="179" spans="1:1">
      <c r="A179" s="144"/>
    </row>
    <row r="180" spans="1:1">
      <c r="A180" s="144"/>
    </row>
    <row r="181" spans="1:1">
      <c r="A181" s="144"/>
    </row>
    <row r="182" spans="1:1">
      <c r="A182" s="144"/>
    </row>
    <row r="183" spans="1:1">
      <c r="A183" s="144"/>
    </row>
    <row r="184" spans="1:1">
      <c r="A184" s="144"/>
    </row>
    <row r="185" spans="1:1">
      <c r="A185" s="144"/>
    </row>
    <row r="186" spans="1:1">
      <c r="A186" s="144"/>
    </row>
    <row r="187" spans="1:1">
      <c r="A187" s="144"/>
    </row>
    <row r="188" spans="1:1">
      <c r="A188" s="144"/>
    </row>
    <row r="189" spans="1:1">
      <c r="A189" s="144"/>
    </row>
    <row r="190" spans="1:1">
      <c r="A190" s="144"/>
    </row>
    <row r="191" spans="1:1">
      <c r="A191" s="144"/>
    </row>
    <row r="192" spans="1:1">
      <c r="A192" s="144"/>
    </row>
    <row r="193" spans="1:1">
      <c r="A193" s="144"/>
    </row>
    <row r="194" spans="1:1">
      <c r="A194" s="144"/>
    </row>
    <row r="195" spans="1:1">
      <c r="A195" s="144"/>
    </row>
    <row r="196" spans="1:1">
      <c r="A196" s="144"/>
    </row>
    <row r="197" spans="1:1">
      <c r="A197" s="144"/>
    </row>
    <row r="198" spans="1:1">
      <c r="A198" s="144"/>
    </row>
    <row r="199" spans="1:1">
      <c r="A199" s="144"/>
    </row>
    <row r="200" spans="1:1">
      <c r="A200" s="147"/>
    </row>
    <row r="201" spans="1:1">
      <c r="A201" s="147"/>
    </row>
    <row r="202" spans="1:1">
      <c r="A202" s="147"/>
    </row>
    <row r="203" spans="1:1">
      <c r="A203" s="147"/>
    </row>
    <row r="204" spans="1:1">
      <c r="A204" s="147"/>
    </row>
    <row r="205" spans="1:1">
      <c r="A205" s="144"/>
    </row>
    <row r="206" spans="1:1">
      <c r="A206" s="144"/>
    </row>
    <row r="207" spans="1:1">
      <c r="A207" s="144"/>
    </row>
    <row r="208" spans="1:1">
      <c r="A208" s="144"/>
    </row>
    <row r="209" spans="1:1">
      <c r="A209" s="144"/>
    </row>
    <row r="210" spans="1:1">
      <c r="A210" s="144"/>
    </row>
    <row r="211" spans="1:1">
      <c r="A211" s="144"/>
    </row>
    <row r="212" spans="1:1">
      <c r="A212" s="144"/>
    </row>
    <row r="213" spans="1:1">
      <c r="A213" s="144"/>
    </row>
    <row r="214" spans="1:1">
      <c r="A214" s="144"/>
    </row>
    <row r="215" spans="1:1">
      <c r="A215" s="144"/>
    </row>
    <row r="216" spans="1:1">
      <c r="A216" s="144"/>
    </row>
    <row r="217" spans="1:1">
      <c r="A217" s="144"/>
    </row>
    <row r="218" spans="1:1">
      <c r="A218" s="144"/>
    </row>
    <row r="219" spans="1:1">
      <c r="A219" s="144"/>
    </row>
    <row r="220" spans="1:1">
      <c r="A220" s="144"/>
    </row>
    <row r="221" spans="1:1">
      <c r="A221" s="144"/>
    </row>
    <row r="222" spans="1:1">
      <c r="A222" s="144"/>
    </row>
    <row r="223" spans="1:1">
      <c r="A223" s="144"/>
    </row>
    <row r="224" spans="1:1">
      <c r="A224" s="144"/>
    </row>
    <row r="225" spans="1:1">
      <c r="A225" s="144"/>
    </row>
    <row r="226" spans="1:1">
      <c r="A226" s="144"/>
    </row>
    <row r="227" spans="1:1">
      <c r="A227" s="144"/>
    </row>
    <row r="228" spans="1:1">
      <c r="A228" s="144"/>
    </row>
    <row r="229" spans="1:1">
      <c r="A229" s="144"/>
    </row>
    <row r="230" spans="1:1">
      <c r="A230" s="144"/>
    </row>
    <row r="231" spans="1:1">
      <c r="A231" s="144"/>
    </row>
    <row r="232" spans="1:1">
      <c r="A232" s="144"/>
    </row>
    <row r="233" spans="1:1">
      <c r="A233" s="144"/>
    </row>
    <row r="234" spans="1:1">
      <c r="A234" s="144"/>
    </row>
    <row r="235" spans="1:1">
      <c r="A235" s="144"/>
    </row>
    <row r="236" spans="1:1">
      <c r="A236" s="144"/>
    </row>
    <row r="237" spans="1:1">
      <c r="A237" s="144"/>
    </row>
    <row r="238" spans="1:1">
      <c r="A238" s="144"/>
    </row>
    <row r="239" spans="1:1">
      <c r="A239" s="144"/>
    </row>
    <row r="240" spans="1:1">
      <c r="A240" s="144"/>
    </row>
    <row r="241" spans="1:1">
      <c r="A241" s="144"/>
    </row>
    <row r="242" spans="1:1">
      <c r="A242" s="144"/>
    </row>
    <row r="243" spans="1:1">
      <c r="A243" s="144"/>
    </row>
    <row r="244" spans="1:1">
      <c r="A244" s="144"/>
    </row>
    <row r="245" spans="1:1">
      <c r="A245" s="144"/>
    </row>
    <row r="246" spans="1:1">
      <c r="A246" s="144"/>
    </row>
    <row r="247" spans="1:1">
      <c r="A247" s="144"/>
    </row>
    <row r="248" spans="1:1">
      <c r="A248" s="144"/>
    </row>
    <row r="249" spans="1:1">
      <c r="A249" s="144"/>
    </row>
    <row r="250" spans="1:1">
      <c r="A250" s="144"/>
    </row>
    <row r="251" spans="1:1">
      <c r="A251" s="144"/>
    </row>
    <row r="252" spans="1:1">
      <c r="A252" s="144"/>
    </row>
    <row r="253" spans="1:1">
      <c r="A253" s="144"/>
    </row>
    <row r="254" spans="1:1">
      <c r="A254" s="144"/>
    </row>
    <row r="255" spans="1:1">
      <c r="A255" s="144"/>
    </row>
    <row r="256" spans="1:1">
      <c r="A256" s="144"/>
    </row>
    <row r="257" spans="1:1">
      <c r="A257" s="144"/>
    </row>
    <row r="258" spans="1:1">
      <c r="A258" s="144"/>
    </row>
    <row r="259" spans="1:1">
      <c r="A259" s="144"/>
    </row>
    <row r="260" spans="1:1">
      <c r="A260" s="144"/>
    </row>
    <row r="261" spans="1:1">
      <c r="A261" s="144"/>
    </row>
    <row r="262" spans="1:1">
      <c r="A262" s="144"/>
    </row>
    <row r="263" spans="1:1">
      <c r="A263" s="144"/>
    </row>
    <row r="264" spans="1:1">
      <c r="A264" s="144"/>
    </row>
    <row r="265" spans="1:1">
      <c r="A265" s="144"/>
    </row>
    <row r="266" spans="1:1">
      <c r="A266" s="144"/>
    </row>
    <row r="267" spans="1:1">
      <c r="A267" s="144"/>
    </row>
    <row r="268" spans="1:1">
      <c r="A268" s="144"/>
    </row>
    <row r="269" spans="1:1">
      <c r="A269" s="14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5E29-63F8-4719-A6B4-47EE34BDE6CF}">
  <dimension ref="A1:G269"/>
  <sheetViews>
    <sheetView workbookViewId="0">
      <selection activeCell="Q10" sqref="Q10"/>
    </sheetView>
  </sheetViews>
  <sheetFormatPr defaultColWidth="8.88671875" defaultRowHeight="13.2"/>
  <cols>
    <col min="1" max="1" width="13.109375" style="132" customWidth="1"/>
    <col min="2" max="2" width="12" style="132" bestFit="1" customWidth="1"/>
    <col min="3" max="3" width="10.6640625" style="132" bestFit="1" customWidth="1"/>
    <col min="4" max="4" width="14.5546875" style="132" customWidth="1"/>
    <col min="5" max="16384" width="8.88671875" style="132"/>
  </cols>
  <sheetData>
    <row r="1" spans="1:7" ht="26.4">
      <c r="A1" s="157" t="s">
        <v>148</v>
      </c>
      <c r="B1" s="157" t="s">
        <v>15</v>
      </c>
      <c r="C1" s="157" t="s">
        <v>30</v>
      </c>
      <c r="D1" s="157" t="s">
        <v>161</v>
      </c>
      <c r="E1" s="143"/>
    </row>
    <row r="2" spans="1:7">
      <c r="A2" s="142" t="s">
        <v>109</v>
      </c>
      <c r="B2" s="156">
        <v>45.645278753946478</v>
      </c>
      <c r="C2" s="156">
        <v>13.107299501123148</v>
      </c>
      <c r="D2" s="156">
        <v>32.277515252823328</v>
      </c>
      <c r="E2" s="146"/>
      <c r="F2" s="146"/>
      <c r="G2" s="146"/>
    </row>
    <row r="3" spans="1:7">
      <c r="A3" s="142" t="s">
        <v>110</v>
      </c>
      <c r="B3" s="156">
        <v>45.326688633074973</v>
      </c>
      <c r="C3" s="156">
        <v>11.952508472427619</v>
      </c>
      <c r="D3" s="156">
        <v>33.110294160647356</v>
      </c>
      <c r="E3" s="146"/>
      <c r="F3" s="146"/>
      <c r="G3" s="146"/>
    </row>
    <row r="4" spans="1:7">
      <c r="A4" s="142" t="s">
        <v>111</v>
      </c>
      <c r="B4" s="156">
        <v>45.396040529250584</v>
      </c>
      <c r="C4" s="156">
        <v>11.579831238332519</v>
      </c>
      <c r="D4" s="156">
        <v>33.415579290918068</v>
      </c>
      <c r="E4" s="146"/>
      <c r="F4" s="146"/>
      <c r="G4" s="146"/>
    </row>
    <row r="5" spans="1:7">
      <c r="A5" s="142" t="s">
        <v>112</v>
      </c>
      <c r="B5" s="156">
        <v>50.109029724718859</v>
      </c>
      <c r="C5" s="156">
        <v>14.018496375209455</v>
      </c>
      <c r="D5" s="156">
        <v>35.535109349509405</v>
      </c>
      <c r="E5" s="146"/>
      <c r="F5" s="146"/>
      <c r="G5" s="146"/>
    </row>
    <row r="6" spans="1:7">
      <c r="A6" s="142" t="s">
        <v>113</v>
      </c>
      <c r="B6" s="156">
        <v>50.052447476720523</v>
      </c>
      <c r="C6" s="156">
        <v>13.382755633454524</v>
      </c>
      <c r="D6" s="156">
        <v>36.267676843266003</v>
      </c>
      <c r="E6" s="146"/>
      <c r="F6" s="146"/>
      <c r="G6" s="146"/>
    </row>
    <row r="7" spans="1:7">
      <c r="A7" s="142" t="s">
        <v>114</v>
      </c>
      <c r="B7" s="156">
        <v>52.141729011229799</v>
      </c>
      <c r="C7" s="156">
        <v>13.833111753485145</v>
      </c>
      <c r="D7" s="156">
        <v>37.967281257744652</v>
      </c>
      <c r="E7" s="146"/>
      <c r="F7" s="146"/>
      <c r="G7" s="146"/>
    </row>
    <row r="8" spans="1:7">
      <c r="A8" s="142" t="s">
        <v>34</v>
      </c>
      <c r="B8" s="156">
        <v>51.690524307799123</v>
      </c>
      <c r="C8" s="156">
        <v>13.675364391156284</v>
      </c>
      <c r="D8" s="156">
        <v>37.674373916642843</v>
      </c>
      <c r="E8" s="146"/>
      <c r="F8" s="146"/>
      <c r="G8" s="146"/>
    </row>
    <row r="9" spans="1:7">
      <c r="A9" s="142" t="s">
        <v>37</v>
      </c>
      <c r="B9" s="156">
        <v>52.804356746265945</v>
      </c>
      <c r="C9" s="156">
        <v>13.523827120054571</v>
      </c>
      <c r="D9" s="156">
        <v>38.969602626211376</v>
      </c>
      <c r="E9" s="146"/>
      <c r="F9" s="146"/>
      <c r="G9" s="146"/>
    </row>
    <row r="10" spans="1:7">
      <c r="A10" s="142" t="s">
        <v>196</v>
      </c>
      <c r="B10" s="156">
        <v>53.45</v>
      </c>
      <c r="C10" s="156">
        <v>13.8</v>
      </c>
      <c r="D10" s="156">
        <v>39.299999999999997</v>
      </c>
      <c r="E10" s="146"/>
      <c r="F10" s="146"/>
      <c r="G10" s="146"/>
    </row>
    <row r="11" spans="1:7">
      <c r="A11" s="142" t="s">
        <v>150</v>
      </c>
      <c r="B11" s="156">
        <v>55.375</v>
      </c>
      <c r="C11" s="156">
        <v>14.8</v>
      </c>
      <c r="D11" s="156">
        <v>40.174999999999997</v>
      </c>
      <c r="E11" s="146"/>
      <c r="F11" s="146"/>
      <c r="G11" s="146"/>
    </row>
    <row r="12" spans="1:7">
      <c r="A12" s="142"/>
      <c r="B12" s="99"/>
      <c r="C12" s="99"/>
      <c r="D12" s="99"/>
      <c r="E12" s="146"/>
      <c r="F12" s="146"/>
    </row>
    <row r="13" spans="1:7">
      <c r="A13" s="142"/>
      <c r="B13" s="99"/>
      <c r="C13" s="99"/>
      <c r="D13" s="99"/>
      <c r="E13" s="146"/>
      <c r="F13" s="146"/>
    </row>
    <row r="14" spans="1:7">
      <c r="A14" s="142"/>
      <c r="B14" s="99"/>
      <c r="C14" s="99"/>
      <c r="D14" s="99"/>
      <c r="E14" s="146"/>
      <c r="F14" s="146"/>
    </row>
    <row r="15" spans="1:7">
      <c r="A15" s="142"/>
      <c r="B15" s="99"/>
      <c r="C15" s="99"/>
      <c r="D15" s="99"/>
      <c r="E15" s="146"/>
      <c r="F15" s="146"/>
    </row>
    <row r="16" spans="1:7">
      <c r="A16" s="142"/>
      <c r="B16" s="99"/>
      <c r="C16" s="99"/>
      <c r="D16" s="99"/>
      <c r="E16" s="146"/>
      <c r="F16" s="146"/>
    </row>
    <row r="17" spans="1:6">
      <c r="A17" s="142"/>
      <c r="B17" s="99"/>
      <c r="C17" s="99"/>
      <c r="D17" s="99"/>
      <c r="E17" s="146"/>
      <c r="F17" s="146"/>
    </row>
    <row r="18" spans="1:6">
      <c r="A18" s="142"/>
      <c r="B18" s="99"/>
      <c r="C18" s="99"/>
      <c r="D18" s="99"/>
      <c r="E18" s="146"/>
      <c r="F18" s="146"/>
    </row>
    <row r="19" spans="1:6">
      <c r="A19" s="142"/>
      <c r="B19" s="99"/>
      <c r="C19" s="99"/>
      <c r="D19" s="99"/>
      <c r="E19" s="146"/>
      <c r="F19" s="146"/>
    </row>
    <row r="20" spans="1:6">
      <c r="A20" s="142"/>
      <c r="B20" s="99"/>
      <c r="C20" s="99"/>
      <c r="D20" s="99"/>
      <c r="E20" s="146"/>
      <c r="F20" s="146"/>
    </row>
    <row r="21" spans="1:6">
      <c r="A21" s="142"/>
      <c r="B21" s="99"/>
      <c r="C21" s="99"/>
      <c r="D21" s="99"/>
      <c r="E21" s="146"/>
      <c r="F21" s="146"/>
    </row>
    <row r="22" spans="1:6">
      <c r="A22" s="142"/>
      <c r="B22" s="99"/>
      <c r="C22" s="99"/>
      <c r="D22" s="99"/>
      <c r="E22" s="146"/>
      <c r="F22" s="146"/>
    </row>
    <row r="23" spans="1:6">
      <c r="A23" s="142"/>
      <c r="B23" s="99"/>
      <c r="C23" s="99"/>
      <c r="D23" s="99"/>
      <c r="E23" s="146"/>
      <c r="F23" s="146"/>
    </row>
    <row r="24" spans="1:6">
      <c r="A24" s="142"/>
      <c r="B24" s="99"/>
      <c r="C24" s="99"/>
      <c r="D24" s="99"/>
      <c r="E24" s="146"/>
      <c r="F24" s="146"/>
    </row>
    <row r="25" spans="1:6">
      <c r="A25" s="142"/>
      <c r="B25" s="99"/>
      <c r="C25" s="99"/>
      <c r="D25" s="99"/>
      <c r="E25" s="146"/>
      <c r="F25" s="146"/>
    </row>
    <row r="26" spans="1:6">
      <c r="A26" s="142"/>
      <c r="B26" s="99"/>
      <c r="C26" s="99"/>
      <c r="D26" s="99"/>
      <c r="E26" s="146"/>
      <c r="F26" s="146"/>
    </row>
    <row r="27" spans="1:6">
      <c r="A27" s="142"/>
      <c r="B27" s="99"/>
      <c r="C27" s="99"/>
      <c r="D27" s="99"/>
      <c r="F27" s="146"/>
    </row>
    <row r="28" spans="1:6">
      <c r="A28" s="142"/>
      <c r="B28" s="99"/>
      <c r="C28" s="99"/>
      <c r="D28" s="99"/>
      <c r="E28" s="146"/>
      <c r="F28" s="146"/>
    </row>
    <row r="29" spans="1:6">
      <c r="A29" s="142"/>
      <c r="B29" s="99"/>
      <c r="C29" s="99"/>
      <c r="D29" s="99"/>
      <c r="E29" s="146"/>
      <c r="F29" s="146"/>
    </row>
    <row r="30" spans="1:6">
      <c r="A30" s="142"/>
      <c r="B30" s="99"/>
      <c r="C30" s="99"/>
      <c r="D30" s="99"/>
      <c r="E30" s="146"/>
      <c r="F30" s="146"/>
    </row>
    <row r="31" spans="1:6">
      <c r="A31" s="144"/>
      <c r="B31" s="145"/>
      <c r="C31" s="145"/>
      <c r="D31" s="146"/>
      <c r="E31" s="146"/>
      <c r="F31" s="146"/>
    </row>
    <row r="32" spans="1:6">
      <c r="A32" s="144"/>
      <c r="B32" s="145"/>
      <c r="C32" s="145"/>
      <c r="D32" s="146"/>
      <c r="E32" s="146"/>
      <c r="F32" s="146"/>
    </row>
    <row r="33" spans="1:6">
      <c r="A33" s="144"/>
      <c r="B33" s="145"/>
      <c r="C33" s="145"/>
      <c r="D33" s="146"/>
      <c r="E33" s="146"/>
      <c r="F33" s="146"/>
    </row>
    <row r="34" spans="1:6">
      <c r="A34" s="144"/>
      <c r="B34" s="145"/>
      <c r="C34" s="145"/>
      <c r="D34" s="146"/>
      <c r="E34" s="146"/>
      <c r="F34" s="146"/>
    </row>
    <row r="35" spans="1:6">
      <c r="A35" s="144"/>
      <c r="B35" s="145"/>
      <c r="C35" s="145"/>
      <c r="D35" s="146"/>
      <c r="E35" s="146"/>
      <c r="F35" s="146"/>
    </row>
    <row r="36" spans="1:6">
      <c r="A36" s="144"/>
      <c r="B36" s="145"/>
      <c r="C36" s="145"/>
      <c r="D36" s="146"/>
      <c r="E36" s="146"/>
      <c r="F36" s="146"/>
    </row>
    <row r="37" spans="1:6">
      <c r="A37" s="144"/>
      <c r="B37" s="145"/>
      <c r="C37" s="145"/>
      <c r="D37" s="146"/>
      <c r="E37" s="146"/>
      <c r="F37" s="146"/>
    </row>
    <row r="38" spans="1:6">
      <c r="A38" s="144"/>
      <c r="B38" s="145"/>
      <c r="C38" s="145"/>
      <c r="D38" s="146"/>
      <c r="E38" s="146"/>
      <c r="F38" s="146"/>
    </row>
    <row r="39" spans="1:6">
      <c r="A39" s="144"/>
      <c r="B39" s="145"/>
      <c r="C39" s="145"/>
      <c r="D39" s="146"/>
      <c r="E39" s="146"/>
      <c r="F39" s="146"/>
    </row>
    <row r="40" spans="1:6">
      <c r="A40" s="144"/>
      <c r="B40" s="145"/>
      <c r="C40" s="145"/>
      <c r="D40" s="146"/>
      <c r="E40" s="146"/>
      <c r="F40" s="146"/>
    </row>
    <row r="41" spans="1:6">
      <c r="A41" s="144"/>
      <c r="B41" s="145"/>
      <c r="C41" s="145"/>
      <c r="D41" s="146"/>
      <c r="E41" s="146"/>
      <c r="F41" s="146"/>
    </row>
    <row r="42" spans="1:6">
      <c r="A42" s="144"/>
      <c r="B42" s="145"/>
      <c r="C42" s="145"/>
      <c r="D42" s="146"/>
      <c r="E42" s="146"/>
      <c r="F42" s="146"/>
    </row>
    <row r="43" spans="1:6">
      <c r="A43" s="144"/>
      <c r="B43" s="145"/>
      <c r="C43" s="145"/>
      <c r="D43" s="146"/>
      <c r="E43" s="146"/>
      <c r="F43" s="146"/>
    </row>
    <row r="44" spans="1:6">
      <c r="A44" s="144"/>
      <c r="B44" s="145"/>
      <c r="C44" s="145"/>
      <c r="D44" s="146"/>
      <c r="E44" s="146"/>
      <c r="F44" s="146"/>
    </row>
    <row r="45" spans="1:6">
      <c r="A45" s="144"/>
      <c r="B45" s="145"/>
      <c r="C45" s="145"/>
      <c r="D45" s="146"/>
      <c r="E45" s="146"/>
      <c r="F45" s="146"/>
    </row>
    <row r="46" spans="1:6">
      <c r="A46" s="144"/>
      <c r="B46" s="145"/>
      <c r="C46" s="145"/>
      <c r="D46" s="146"/>
      <c r="E46" s="146"/>
      <c r="F46" s="146"/>
    </row>
    <row r="47" spans="1:6">
      <c r="A47" s="144"/>
      <c r="B47" s="145"/>
      <c r="C47" s="145"/>
      <c r="D47" s="146"/>
      <c r="E47" s="146"/>
      <c r="F47" s="146"/>
    </row>
    <row r="48" spans="1:6">
      <c r="A48" s="144"/>
      <c r="B48" s="145"/>
      <c r="C48" s="145"/>
      <c r="D48" s="146"/>
      <c r="E48" s="146"/>
      <c r="F48" s="146"/>
    </row>
    <row r="49" spans="1:6">
      <c r="A49" s="144"/>
      <c r="B49" s="145"/>
      <c r="C49" s="145"/>
      <c r="D49" s="146"/>
      <c r="E49" s="146"/>
      <c r="F49" s="146"/>
    </row>
    <row r="50" spans="1:6">
      <c r="A50" s="144"/>
      <c r="B50" s="145"/>
      <c r="C50" s="145"/>
      <c r="D50" s="146"/>
      <c r="E50" s="146"/>
      <c r="F50" s="146"/>
    </row>
    <row r="51" spans="1:6">
      <c r="A51" s="144"/>
      <c r="B51" s="145"/>
      <c r="C51" s="145"/>
      <c r="D51" s="146"/>
      <c r="E51" s="146"/>
      <c r="F51" s="146"/>
    </row>
    <row r="52" spans="1:6">
      <c r="A52" s="144"/>
      <c r="B52" s="145"/>
      <c r="C52" s="145"/>
      <c r="D52" s="146"/>
      <c r="E52" s="146"/>
      <c r="F52" s="146"/>
    </row>
    <row r="53" spans="1:6">
      <c r="A53" s="144"/>
      <c r="B53" s="145"/>
      <c r="C53" s="145"/>
      <c r="D53" s="146"/>
      <c r="E53" s="146"/>
      <c r="F53" s="146"/>
    </row>
    <row r="54" spans="1:6">
      <c r="A54" s="144"/>
      <c r="D54" s="146"/>
      <c r="E54" s="146"/>
      <c r="F54" s="146"/>
    </row>
    <row r="55" spans="1:6">
      <c r="A55" s="144"/>
    </row>
    <row r="56" spans="1:6">
      <c r="A56" s="144"/>
    </row>
    <row r="57" spans="1:6">
      <c r="A57" s="144"/>
    </row>
    <row r="58" spans="1:6">
      <c r="A58" s="144"/>
    </row>
    <row r="59" spans="1:6">
      <c r="A59" s="144"/>
    </row>
    <row r="60" spans="1:6">
      <c r="A60" s="144"/>
    </row>
    <row r="61" spans="1:6">
      <c r="A61" s="144"/>
    </row>
    <row r="62" spans="1:6">
      <c r="A62" s="144"/>
    </row>
    <row r="63" spans="1:6">
      <c r="A63" s="144"/>
    </row>
    <row r="64" spans="1:6">
      <c r="A64" s="144"/>
    </row>
    <row r="65" spans="1:1">
      <c r="A65" s="144"/>
    </row>
    <row r="66" spans="1:1">
      <c r="A66" s="144"/>
    </row>
    <row r="67" spans="1:1">
      <c r="A67" s="144"/>
    </row>
    <row r="68" spans="1:1">
      <c r="A68" s="144"/>
    </row>
    <row r="69" spans="1:1">
      <c r="A69" s="144"/>
    </row>
    <row r="70" spans="1:1">
      <c r="A70" s="144"/>
    </row>
    <row r="71" spans="1:1">
      <c r="A71" s="144"/>
    </row>
    <row r="72" spans="1:1">
      <c r="A72" s="144"/>
    </row>
    <row r="73" spans="1:1">
      <c r="A73" s="144"/>
    </row>
    <row r="74" spans="1:1">
      <c r="A74" s="144"/>
    </row>
    <row r="75" spans="1:1">
      <c r="A75" s="144"/>
    </row>
    <row r="76" spans="1:1">
      <c r="A76" s="144"/>
    </row>
    <row r="77" spans="1:1">
      <c r="A77" s="144"/>
    </row>
    <row r="78" spans="1:1">
      <c r="A78" s="144"/>
    </row>
    <row r="79" spans="1:1">
      <c r="A79" s="144"/>
    </row>
    <row r="80" spans="1:1">
      <c r="A80" s="144"/>
    </row>
    <row r="81" spans="1:1">
      <c r="A81" s="144"/>
    </row>
    <row r="82" spans="1:1">
      <c r="A82" s="144"/>
    </row>
    <row r="83" spans="1:1">
      <c r="A83" s="144"/>
    </row>
    <row r="84" spans="1:1">
      <c r="A84" s="144"/>
    </row>
    <row r="85" spans="1:1">
      <c r="A85" s="144"/>
    </row>
    <row r="86" spans="1:1">
      <c r="A86" s="144"/>
    </row>
    <row r="87" spans="1:1">
      <c r="A87" s="144"/>
    </row>
    <row r="88" spans="1:1">
      <c r="A88" s="144"/>
    </row>
    <row r="89" spans="1:1">
      <c r="A89" s="144"/>
    </row>
    <row r="90" spans="1:1">
      <c r="A90" s="144"/>
    </row>
    <row r="91" spans="1:1">
      <c r="A91" s="144"/>
    </row>
    <row r="92" spans="1:1">
      <c r="A92" s="144"/>
    </row>
    <row r="93" spans="1:1">
      <c r="A93" s="144"/>
    </row>
    <row r="94" spans="1:1">
      <c r="A94" s="144"/>
    </row>
    <row r="95" spans="1:1">
      <c r="A95" s="144"/>
    </row>
    <row r="96" spans="1:1">
      <c r="A96" s="144"/>
    </row>
    <row r="97" spans="1:1">
      <c r="A97" s="144"/>
    </row>
    <row r="98" spans="1:1">
      <c r="A98" s="144"/>
    </row>
    <row r="99" spans="1:1">
      <c r="A99" s="144"/>
    </row>
    <row r="100" spans="1:1">
      <c r="A100" s="144"/>
    </row>
    <row r="101" spans="1:1">
      <c r="A101" s="144"/>
    </row>
    <row r="102" spans="1:1">
      <c r="A102" s="144"/>
    </row>
    <row r="103" spans="1:1">
      <c r="A103" s="144"/>
    </row>
    <row r="104" spans="1:1">
      <c r="A104" s="144"/>
    </row>
    <row r="105" spans="1:1">
      <c r="A105" s="144"/>
    </row>
    <row r="106" spans="1:1">
      <c r="A106" s="144"/>
    </row>
    <row r="107" spans="1:1">
      <c r="A107" s="144"/>
    </row>
    <row r="108" spans="1:1">
      <c r="A108" s="144"/>
    </row>
    <row r="109" spans="1:1">
      <c r="A109" s="144"/>
    </row>
    <row r="110" spans="1:1">
      <c r="A110" s="144"/>
    </row>
    <row r="111" spans="1:1">
      <c r="A111" s="144"/>
    </row>
    <row r="112" spans="1:1">
      <c r="A112" s="144"/>
    </row>
    <row r="113" spans="1:1">
      <c r="A113" s="144"/>
    </row>
    <row r="114" spans="1:1">
      <c r="A114" s="144"/>
    </row>
    <row r="115" spans="1:1">
      <c r="A115" s="144"/>
    </row>
    <row r="116" spans="1:1">
      <c r="A116" s="144"/>
    </row>
    <row r="117" spans="1:1">
      <c r="A117" s="144"/>
    </row>
    <row r="118" spans="1:1">
      <c r="A118" s="144"/>
    </row>
    <row r="119" spans="1:1">
      <c r="A119" s="144"/>
    </row>
    <row r="120" spans="1:1">
      <c r="A120" s="144"/>
    </row>
    <row r="121" spans="1:1">
      <c r="A121" s="144"/>
    </row>
    <row r="122" spans="1:1">
      <c r="A122" s="144"/>
    </row>
    <row r="123" spans="1:1">
      <c r="A123" s="144"/>
    </row>
    <row r="124" spans="1:1">
      <c r="A124" s="144"/>
    </row>
    <row r="125" spans="1:1">
      <c r="A125" s="144"/>
    </row>
    <row r="126" spans="1:1">
      <c r="A126" s="144"/>
    </row>
    <row r="127" spans="1:1">
      <c r="A127" s="144"/>
    </row>
    <row r="128" spans="1:1">
      <c r="A128" s="144"/>
    </row>
    <row r="129" spans="1:1">
      <c r="A129" s="144"/>
    </row>
    <row r="130" spans="1:1">
      <c r="A130" s="144"/>
    </row>
    <row r="131" spans="1:1">
      <c r="A131" s="144"/>
    </row>
    <row r="132" spans="1:1">
      <c r="A132" s="144"/>
    </row>
    <row r="133" spans="1:1">
      <c r="A133" s="144"/>
    </row>
    <row r="134" spans="1:1">
      <c r="A134" s="144"/>
    </row>
    <row r="135" spans="1:1">
      <c r="A135" s="144"/>
    </row>
    <row r="136" spans="1:1">
      <c r="A136" s="144"/>
    </row>
    <row r="137" spans="1:1">
      <c r="A137" s="144"/>
    </row>
    <row r="138" spans="1:1">
      <c r="A138" s="144"/>
    </row>
    <row r="139" spans="1:1">
      <c r="A139" s="144"/>
    </row>
    <row r="140" spans="1:1">
      <c r="A140" s="144"/>
    </row>
    <row r="141" spans="1:1">
      <c r="A141" s="144"/>
    </row>
    <row r="142" spans="1:1">
      <c r="A142" s="144"/>
    </row>
    <row r="143" spans="1:1">
      <c r="A143" s="144"/>
    </row>
    <row r="144" spans="1:1">
      <c r="A144" s="144"/>
    </row>
    <row r="145" spans="1:1">
      <c r="A145" s="144"/>
    </row>
    <row r="146" spans="1:1">
      <c r="A146" s="144"/>
    </row>
    <row r="147" spans="1:1">
      <c r="A147" s="144"/>
    </row>
    <row r="148" spans="1:1">
      <c r="A148" s="144"/>
    </row>
    <row r="149" spans="1:1">
      <c r="A149" s="144"/>
    </row>
    <row r="150" spans="1:1">
      <c r="A150" s="144"/>
    </row>
    <row r="151" spans="1:1">
      <c r="A151" s="144"/>
    </row>
    <row r="152" spans="1:1">
      <c r="A152" s="144"/>
    </row>
    <row r="153" spans="1:1">
      <c r="A153" s="144"/>
    </row>
    <row r="154" spans="1:1">
      <c r="A154" s="144"/>
    </row>
    <row r="155" spans="1:1">
      <c r="A155" s="144"/>
    </row>
    <row r="156" spans="1:1">
      <c r="A156" s="144"/>
    </row>
    <row r="157" spans="1:1">
      <c r="A157" s="144"/>
    </row>
    <row r="158" spans="1:1">
      <c r="A158" s="144"/>
    </row>
    <row r="159" spans="1:1">
      <c r="A159" s="144"/>
    </row>
    <row r="160" spans="1:1">
      <c r="A160" s="144"/>
    </row>
    <row r="161" spans="1:1">
      <c r="A161" s="144"/>
    </row>
    <row r="162" spans="1:1">
      <c r="A162" s="144"/>
    </row>
    <row r="163" spans="1:1">
      <c r="A163" s="144"/>
    </row>
    <row r="164" spans="1:1">
      <c r="A164" s="144"/>
    </row>
    <row r="165" spans="1:1">
      <c r="A165" s="144"/>
    </row>
    <row r="166" spans="1:1">
      <c r="A166" s="144"/>
    </row>
    <row r="167" spans="1:1">
      <c r="A167" s="144"/>
    </row>
    <row r="168" spans="1:1">
      <c r="A168" s="144"/>
    </row>
    <row r="169" spans="1:1">
      <c r="A169" s="144"/>
    </row>
    <row r="170" spans="1:1">
      <c r="A170" s="144"/>
    </row>
    <row r="171" spans="1:1">
      <c r="A171" s="144"/>
    </row>
    <row r="172" spans="1:1">
      <c r="A172" s="144"/>
    </row>
    <row r="173" spans="1:1">
      <c r="A173" s="144"/>
    </row>
    <row r="174" spans="1:1">
      <c r="A174" s="144"/>
    </row>
    <row r="175" spans="1:1">
      <c r="A175" s="144"/>
    </row>
    <row r="176" spans="1:1">
      <c r="A176" s="144"/>
    </row>
    <row r="177" spans="1:1">
      <c r="A177" s="144"/>
    </row>
    <row r="178" spans="1:1">
      <c r="A178" s="144"/>
    </row>
    <row r="179" spans="1:1">
      <c r="A179" s="144"/>
    </row>
    <row r="180" spans="1:1">
      <c r="A180" s="144"/>
    </row>
    <row r="181" spans="1:1">
      <c r="A181" s="144"/>
    </row>
    <row r="182" spans="1:1">
      <c r="A182" s="144"/>
    </row>
    <row r="183" spans="1:1">
      <c r="A183" s="144"/>
    </row>
    <row r="184" spans="1:1">
      <c r="A184" s="144"/>
    </row>
    <row r="185" spans="1:1">
      <c r="A185" s="144"/>
    </row>
    <row r="186" spans="1:1">
      <c r="A186" s="144"/>
    </row>
    <row r="187" spans="1:1">
      <c r="A187" s="144"/>
    </row>
    <row r="188" spans="1:1">
      <c r="A188" s="144"/>
    </row>
    <row r="189" spans="1:1">
      <c r="A189" s="144"/>
    </row>
    <row r="190" spans="1:1">
      <c r="A190" s="144"/>
    </row>
    <row r="191" spans="1:1">
      <c r="A191" s="144"/>
    </row>
    <row r="192" spans="1:1">
      <c r="A192" s="144"/>
    </row>
    <row r="193" spans="1:1">
      <c r="A193" s="144"/>
    </row>
    <row r="194" spans="1:1">
      <c r="A194" s="144"/>
    </row>
    <row r="195" spans="1:1">
      <c r="A195" s="144"/>
    </row>
    <row r="196" spans="1:1">
      <c r="A196" s="144"/>
    </row>
    <row r="197" spans="1:1">
      <c r="A197" s="144"/>
    </row>
    <row r="198" spans="1:1">
      <c r="A198" s="144"/>
    </row>
    <row r="199" spans="1:1">
      <c r="A199" s="144"/>
    </row>
    <row r="200" spans="1:1">
      <c r="A200" s="147"/>
    </row>
    <row r="201" spans="1:1">
      <c r="A201" s="147"/>
    </row>
    <row r="202" spans="1:1">
      <c r="A202" s="147"/>
    </row>
    <row r="203" spans="1:1">
      <c r="A203" s="147"/>
    </row>
    <row r="204" spans="1:1">
      <c r="A204" s="147"/>
    </row>
    <row r="205" spans="1:1">
      <c r="A205" s="144"/>
    </row>
    <row r="206" spans="1:1">
      <c r="A206" s="144"/>
    </row>
    <row r="207" spans="1:1">
      <c r="A207" s="144"/>
    </row>
    <row r="208" spans="1:1">
      <c r="A208" s="144"/>
    </row>
    <row r="209" spans="1:1">
      <c r="A209" s="144"/>
    </row>
    <row r="210" spans="1:1">
      <c r="A210" s="144"/>
    </row>
    <row r="211" spans="1:1">
      <c r="A211" s="144"/>
    </row>
    <row r="212" spans="1:1">
      <c r="A212" s="144"/>
    </row>
    <row r="213" spans="1:1">
      <c r="A213" s="144"/>
    </row>
    <row r="214" spans="1:1">
      <c r="A214" s="144"/>
    </row>
    <row r="215" spans="1:1">
      <c r="A215" s="144"/>
    </row>
    <row r="216" spans="1:1">
      <c r="A216" s="144"/>
    </row>
    <row r="217" spans="1:1">
      <c r="A217" s="144"/>
    </row>
    <row r="218" spans="1:1">
      <c r="A218" s="144"/>
    </row>
    <row r="219" spans="1:1">
      <c r="A219" s="144"/>
    </row>
    <row r="220" spans="1:1">
      <c r="A220" s="144"/>
    </row>
    <row r="221" spans="1:1">
      <c r="A221" s="144"/>
    </row>
    <row r="222" spans="1:1">
      <c r="A222" s="144"/>
    </row>
    <row r="223" spans="1:1">
      <c r="A223" s="144"/>
    </row>
    <row r="224" spans="1:1">
      <c r="A224" s="144"/>
    </row>
    <row r="225" spans="1:1">
      <c r="A225" s="144"/>
    </row>
    <row r="226" spans="1:1">
      <c r="A226" s="144"/>
    </row>
    <row r="227" spans="1:1">
      <c r="A227" s="144"/>
    </row>
    <row r="228" spans="1:1">
      <c r="A228" s="144"/>
    </row>
    <row r="229" spans="1:1">
      <c r="A229" s="144"/>
    </row>
    <row r="230" spans="1:1">
      <c r="A230" s="144"/>
    </row>
    <row r="231" spans="1:1">
      <c r="A231" s="144"/>
    </row>
    <row r="232" spans="1:1">
      <c r="A232" s="144"/>
    </row>
    <row r="233" spans="1:1">
      <c r="A233" s="144"/>
    </row>
    <row r="234" spans="1:1">
      <c r="A234" s="144"/>
    </row>
    <row r="235" spans="1:1">
      <c r="A235" s="144"/>
    </row>
    <row r="236" spans="1:1">
      <c r="A236" s="144"/>
    </row>
    <row r="237" spans="1:1">
      <c r="A237" s="144"/>
    </row>
    <row r="238" spans="1:1">
      <c r="A238" s="144"/>
    </row>
    <row r="239" spans="1:1">
      <c r="A239" s="144"/>
    </row>
    <row r="240" spans="1:1">
      <c r="A240" s="144"/>
    </row>
    <row r="241" spans="1:1">
      <c r="A241" s="144"/>
    </row>
    <row r="242" spans="1:1">
      <c r="A242" s="144"/>
    </row>
    <row r="243" spans="1:1">
      <c r="A243" s="144"/>
    </row>
    <row r="244" spans="1:1">
      <c r="A244" s="144"/>
    </row>
    <row r="245" spans="1:1">
      <c r="A245" s="144"/>
    </row>
    <row r="246" spans="1:1">
      <c r="A246" s="144"/>
    </row>
    <row r="247" spans="1:1">
      <c r="A247" s="144"/>
    </row>
    <row r="248" spans="1:1">
      <c r="A248" s="144"/>
    </row>
    <row r="249" spans="1:1">
      <c r="A249" s="144"/>
    </row>
    <row r="250" spans="1:1">
      <c r="A250" s="144"/>
    </row>
    <row r="251" spans="1:1">
      <c r="A251" s="144"/>
    </row>
    <row r="252" spans="1:1">
      <c r="A252" s="144"/>
    </row>
    <row r="253" spans="1:1">
      <c r="A253" s="144"/>
    </row>
    <row r="254" spans="1:1">
      <c r="A254" s="144"/>
    </row>
    <row r="255" spans="1:1">
      <c r="A255" s="144"/>
    </row>
    <row r="256" spans="1:1">
      <c r="A256" s="144"/>
    </row>
    <row r="257" spans="1:1">
      <c r="A257" s="144"/>
    </row>
    <row r="258" spans="1:1">
      <c r="A258" s="144"/>
    </row>
    <row r="259" spans="1:1">
      <c r="A259" s="144"/>
    </row>
    <row r="260" spans="1:1">
      <c r="A260" s="144"/>
    </row>
    <row r="261" spans="1:1">
      <c r="A261" s="144"/>
    </row>
    <row r="262" spans="1:1">
      <c r="A262" s="144"/>
    </row>
    <row r="263" spans="1:1">
      <c r="A263" s="144"/>
    </row>
    <row r="264" spans="1:1">
      <c r="A264" s="144"/>
    </row>
    <row r="265" spans="1:1">
      <c r="A265" s="144"/>
    </row>
    <row r="266" spans="1:1">
      <c r="A266" s="144"/>
    </row>
    <row r="267" spans="1:1">
      <c r="A267" s="144"/>
    </row>
    <row r="268" spans="1:1">
      <c r="A268" s="144"/>
    </row>
    <row r="269" spans="1:1">
      <c r="A269" s="14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6708-1D52-4560-A75C-5FFE7D0D5D71}">
  <dimension ref="A1:G268"/>
  <sheetViews>
    <sheetView workbookViewId="0">
      <selection activeCell="E25" sqref="E25"/>
    </sheetView>
  </sheetViews>
  <sheetFormatPr defaultColWidth="8.88671875" defaultRowHeight="13.2"/>
  <cols>
    <col min="1" max="1" width="13.109375" style="132" customWidth="1"/>
    <col min="2" max="2" width="12" style="132" bestFit="1" customWidth="1"/>
    <col min="3" max="3" width="10.6640625" style="132" bestFit="1" customWidth="1"/>
    <col min="4" max="4" width="14.5546875" style="132" customWidth="1"/>
    <col min="5" max="16384" width="8.88671875" style="132"/>
  </cols>
  <sheetData>
    <row r="1" spans="1:7">
      <c r="A1" s="157" t="s">
        <v>149</v>
      </c>
      <c r="B1" s="157" t="s">
        <v>199</v>
      </c>
      <c r="C1" s="157" t="s">
        <v>200</v>
      </c>
      <c r="D1" s="143"/>
      <c r="E1" s="143"/>
    </row>
    <row r="2" spans="1:7">
      <c r="A2" s="142" t="s">
        <v>201</v>
      </c>
      <c r="B2" s="73">
        <v>30.14</v>
      </c>
      <c r="C2" s="73">
        <v>36.3125</v>
      </c>
      <c r="D2" s="73"/>
      <c r="E2" s="146"/>
      <c r="F2" s="146"/>
      <c r="G2" s="146"/>
    </row>
    <row r="3" spans="1:7">
      <c r="A3" s="142" t="s">
        <v>202</v>
      </c>
      <c r="B3" s="73">
        <v>30.62</v>
      </c>
      <c r="C3" s="73">
        <v>36.15</v>
      </c>
      <c r="D3" s="73"/>
      <c r="E3" s="146"/>
      <c r="F3" s="146"/>
      <c r="G3" s="146"/>
    </row>
    <row r="4" spans="1:7">
      <c r="A4" s="142" t="s">
        <v>203</v>
      </c>
      <c r="B4" s="73">
        <v>32.270000000000003</v>
      </c>
      <c r="C4" s="73">
        <v>38.0625</v>
      </c>
      <c r="D4" s="73"/>
      <c r="E4" s="146"/>
      <c r="F4" s="146"/>
      <c r="G4" s="146"/>
    </row>
    <row r="5" spans="1:7">
      <c r="A5" s="132" t="s">
        <v>204</v>
      </c>
      <c r="B5" s="73">
        <v>33.04</v>
      </c>
      <c r="C5" s="73">
        <v>37.9</v>
      </c>
      <c r="D5" s="73"/>
      <c r="E5" s="146"/>
      <c r="F5" s="146"/>
      <c r="G5" s="146"/>
    </row>
    <row r="6" spans="1:7">
      <c r="A6" s="142" t="s">
        <v>205</v>
      </c>
      <c r="B6" s="73">
        <v>30.26</v>
      </c>
      <c r="C6" s="73">
        <v>35.5</v>
      </c>
      <c r="D6" s="73"/>
      <c r="E6" s="146"/>
      <c r="F6" s="146"/>
      <c r="G6" s="146"/>
    </row>
    <row r="7" spans="1:7">
      <c r="A7" s="142" t="s">
        <v>206</v>
      </c>
      <c r="B7" s="73">
        <v>27.04</v>
      </c>
      <c r="C7" s="73">
        <v>32.875</v>
      </c>
      <c r="D7" s="73"/>
      <c r="E7" s="146"/>
      <c r="F7" s="146"/>
      <c r="G7" s="146"/>
    </row>
    <row r="8" spans="1:7">
      <c r="A8" s="142" t="s">
        <v>207</v>
      </c>
      <c r="B8" s="73">
        <v>25.69</v>
      </c>
      <c r="C8" s="73">
        <v>32.375</v>
      </c>
      <c r="D8" s="73"/>
      <c r="E8" s="146"/>
      <c r="F8" s="146"/>
      <c r="G8" s="146"/>
    </row>
    <row r="9" spans="1:7">
      <c r="A9" s="142" t="s">
        <v>208</v>
      </c>
      <c r="B9" s="73">
        <v>25.27</v>
      </c>
      <c r="C9" s="73">
        <v>32.4</v>
      </c>
      <c r="D9" s="73"/>
      <c r="E9" s="146"/>
      <c r="F9" s="146"/>
      <c r="G9" s="146"/>
    </row>
    <row r="10" spans="1:7">
      <c r="A10" s="142" t="s">
        <v>209</v>
      </c>
      <c r="B10" s="73">
        <v>26.61</v>
      </c>
      <c r="C10" s="73">
        <v>36.625</v>
      </c>
      <c r="D10" s="73"/>
      <c r="E10" s="146"/>
      <c r="F10" s="146"/>
      <c r="G10" s="146"/>
    </row>
    <row r="11" spans="1:7">
      <c r="A11" s="142" t="s">
        <v>210</v>
      </c>
      <c r="B11" s="73">
        <v>28.71</v>
      </c>
      <c r="C11" s="73">
        <v>40.5</v>
      </c>
      <c r="D11" s="73"/>
      <c r="E11" s="146"/>
      <c r="F11" s="146"/>
      <c r="G11" s="146"/>
    </row>
    <row r="12" spans="1:7">
      <c r="A12" s="142" t="s">
        <v>211</v>
      </c>
      <c r="B12" s="73">
        <v>32.130000000000003</v>
      </c>
      <c r="C12" s="73">
        <v>47.8125</v>
      </c>
      <c r="D12" s="73"/>
      <c r="E12" s="146"/>
      <c r="F12" s="146"/>
    </row>
    <row r="13" spans="1:7">
      <c r="A13" s="142" t="s">
        <v>212</v>
      </c>
      <c r="B13" s="73">
        <v>34.200000000000003</v>
      </c>
      <c r="C13" s="73">
        <v>47.9375</v>
      </c>
      <c r="D13" s="73"/>
      <c r="E13" s="146"/>
      <c r="F13" s="146"/>
    </row>
    <row r="14" spans="1:7">
      <c r="A14" s="142" t="s">
        <v>169</v>
      </c>
      <c r="B14" s="73">
        <v>33.909999999999997</v>
      </c>
      <c r="C14" s="73">
        <v>44.35</v>
      </c>
      <c r="D14" s="73"/>
      <c r="E14" s="146"/>
      <c r="F14" s="146"/>
    </row>
    <row r="15" spans="1:7">
      <c r="A15" s="142" t="s">
        <v>170</v>
      </c>
      <c r="B15" s="73">
        <v>37.79</v>
      </c>
      <c r="C15" s="73">
        <v>49.5</v>
      </c>
      <c r="D15" s="73"/>
      <c r="E15" s="146"/>
      <c r="F15" s="146"/>
    </row>
    <row r="16" spans="1:7">
      <c r="A16" s="142" t="s">
        <v>171</v>
      </c>
      <c r="B16" s="73">
        <v>40.85</v>
      </c>
      <c r="C16" s="73">
        <v>51.65</v>
      </c>
      <c r="D16" s="73"/>
      <c r="E16" s="146"/>
      <c r="F16" s="146"/>
    </row>
    <row r="17" spans="1:6">
      <c r="A17" s="142" t="s">
        <v>172</v>
      </c>
      <c r="B17" s="73">
        <v>44.31</v>
      </c>
      <c r="C17" s="73">
        <v>53.3125</v>
      </c>
      <c r="D17" s="73"/>
      <c r="E17" s="146"/>
      <c r="F17" s="146"/>
    </row>
    <row r="18" spans="1:6">
      <c r="A18" s="142" t="s">
        <v>173</v>
      </c>
      <c r="B18" s="73">
        <v>48.37</v>
      </c>
      <c r="C18" s="73">
        <v>58.9375</v>
      </c>
      <c r="D18" s="73"/>
      <c r="E18" s="146"/>
      <c r="F18" s="146"/>
    </row>
    <row r="19" spans="1:6">
      <c r="A19" s="142" t="s">
        <v>174</v>
      </c>
      <c r="B19" s="73">
        <v>54</v>
      </c>
      <c r="C19" s="73">
        <v>71.3125</v>
      </c>
      <c r="D19" s="73"/>
      <c r="E19" s="146"/>
      <c r="F19" s="146"/>
    </row>
    <row r="20" spans="1:6">
      <c r="A20" s="142" t="s">
        <v>175</v>
      </c>
      <c r="B20" s="73">
        <v>62.88</v>
      </c>
      <c r="C20" s="73">
        <v>79.55</v>
      </c>
      <c r="D20" s="73"/>
      <c r="E20" s="146"/>
      <c r="F20" s="146"/>
    </row>
    <row r="21" spans="1:6">
      <c r="A21" s="142" t="s">
        <v>176</v>
      </c>
      <c r="B21" s="73">
        <v>74.75</v>
      </c>
      <c r="C21" s="73">
        <v>94.0625</v>
      </c>
      <c r="D21" s="73"/>
      <c r="E21" s="146"/>
      <c r="F21" s="146"/>
    </row>
    <row r="22" spans="1:6">
      <c r="A22" s="142" t="s">
        <v>177</v>
      </c>
      <c r="B22" s="73">
        <v>74.75</v>
      </c>
      <c r="C22" s="73">
        <v>93.5</v>
      </c>
      <c r="D22" s="73"/>
      <c r="E22" s="146"/>
      <c r="F22" s="146"/>
    </row>
    <row r="23" spans="1:6">
      <c r="A23" s="142" t="s">
        <v>180</v>
      </c>
      <c r="B23" s="73">
        <v>72.930000000000007</v>
      </c>
      <c r="C23" s="73">
        <v>92.3</v>
      </c>
      <c r="D23" s="73"/>
      <c r="E23" s="146"/>
      <c r="F23" s="146"/>
    </row>
    <row r="24" spans="1:6">
      <c r="A24" s="142" t="s">
        <v>178</v>
      </c>
      <c r="B24" s="73">
        <v>70.010000000000005</v>
      </c>
      <c r="C24" s="73">
        <v>81</v>
      </c>
      <c r="D24" s="73"/>
      <c r="E24" s="146"/>
      <c r="F24" s="146"/>
    </row>
    <row r="25" spans="1:6">
      <c r="A25" s="142" t="s">
        <v>179</v>
      </c>
      <c r="B25" s="73">
        <v>65.930000000000007</v>
      </c>
      <c r="C25" s="73">
        <v>76</v>
      </c>
      <c r="D25" s="73"/>
      <c r="E25" s="146"/>
      <c r="F25" s="146"/>
    </row>
    <row r="26" spans="1:6">
      <c r="A26" s="142" t="s">
        <v>162</v>
      </c>
      <c r="B26" s="73">
        <v>70.42</v>
      </c>
      <c r="C26" s="73">
        <v>82.3</v>
      </c>
      <c r="D26" s="73"/>
      <c r="E26" s="146"/>
      <c r="F26" s="146"/>
    </row>
    <row r="27" spans="1:6">
      <c r="A27" s="142" t="s">
        <v>163</v>
      </c>
      <c r="B27" s="73">
        <v>66.459999999999994</v>
      </c>
      <c r="C27" s="73">
        <v>84.375</v>
      </c>
      <c r="D27" s="73"/>
      <c r="F27" s="146"/>
    </row>
    <row r="28" spans="1:6">
      <c r="A28" s="142" t="s">
        <v>164</v>
      </c>
      <c r="B28" s="73">
        <v>63.69</v>
      </c>
      <c r="C28" s="73">
        <v>82.95</v>
      </c>
      <c r="D28" s="73"/>
      <c r="E28" s="146"/>
      <c r="F28" s="146"/>
    </row>
    <row r="29" spans="1:6">
      <c r="A29" s="142" t="s">
        <v>165</v>
      </c>
      <c r="B29" s="73">
        <v>65.7</v>
      </c>
      <c r="C29" s="73">
        <v>88.5625</v>
      </c>
      <c r="D29" s="73"/>
      <c r="E29" s="146"/>
      <c r="F29" s="146"/>
    </row>
    <row r="30" spans="1:6">
      <c r="A30" s="142" t="s">
        <v>166</v>
      </c>
      <c r="B30" s="73">
        <v>70.91</v>
      </c>
      <c r="C30" s="73">
        <v>85.875</v>
      </c>
      <c r="D30" s="73"/>
      <c r="E30" s="146"/>
      <c r="F30" s="146"/>
    </row>
    <row r="31" spans="1:6">
      <c r="A31" s="142" t="s">
        <v>167</v>
      </c>
      <c r="B31" s="73">
        <v>76.405000000000001</v>
      </c>
      <c r="C31" s="73">
        <v>92</v>
      </c>
      <c r="D31" s="73"/>
      <c r="E31" s="146"/>
      <c r="F31" s="146"/>
    </row>
    <row r="32" spans="1:6">
      <c r="A32" s="142" t="s">
        <v>168</v>
      </c>
      <c r="B32" s="73">
        <v>83.846000000000004</v>
      </c>
      <c r="C32" s="73">
        <v>103.15</v>
      </c>
      <c r="D32" s="73"/>
      <c r="E32" s="146"/>
      <c r="F32" s="146"/>
    </row>
    <row r="33" spans="1:6">
      <c r="A33" s="142" t="s">
        <v>151</v>
      </c>
      <c r="B33" s="73">
        <v>87.385000000000005</v>
      </c>
      <c r="C33" s="73">
        <v>108.6875</v>
      </c>
      <c r="D33" s="73"/>
      <c r="E33" s="146"/>
      <c r="F33" s="146"/>
    </row>
    <row r="34" spans="1:6">
      <c r="A34" s="142" t="s">
        <v>152</v>
      </c>
      <c r="B34" s="73">
        <v>80.297499999999999</v>
      </c>
      <c r="C34" s="73">
        <v>102.25</v>
      </c>
      <c r="D34" s="73"/>
      <c r="E34" s="146"/>
      <c r="F34" s="146"/>
    </row>
    <row r="35" spans="1:6">
      <c r="A35" s="142" t="s">
        <v>153</v>
      </c>
      <c r="B35" s="73">
        <v>67.74799999999999</v>
      </c>
      <c r="C35" s="73">
        <v>87.9</v>
      </c>
      <c r="D35" s="73"/>
      <c r="E35" s="146"/>
      <c r="F35" s="146"/>
    </row>
    <row r="36" spans="1:6">
      <c r="A36" s="142" t="s">
        <v>154</v>
      </c>
      <c r="B36" s="73">
        <v>72.334999999999994</v>
      </c>
      <c r="C36" s="73">
        <v>91.3125</v>
      </c>
      <c r="D36" s="73"/>
      <c r="E36" s="146"/>
      <c r="F36" s="146"/>
    </row>
    <row r="37" spans="1:6">
      <c r="A37" s="142" t="s">
        <v>155</v>
      </c>
      <c r="B37" s="73">
        <v>70.626000000000005</v>
      </c>
      <c r="C37" s="73">
        <v>76.849999999999994</v>
      </c>
      <c r="D37" s="73"/>
      <c r="E37" s="146"/>
      <c r="F37" s="146"/>
    </row>
    <row r="38" spans="1:6">
      <c r="A38" s="142" t="s">
        <v>156</v>
      </c>
      <c r="B38" s="73">
        <v>72.67</v>
      </c>
      <c r="C38" s="73">
        <v>80.125</v>
      </c>
      <c r="D38" s="73"/>
      <c r="E38" s="146"/>
      <c r="F38" s="146"/>
    </row>
    <row r="39" spans="1:6">
      <c r="A39" s="142" t="s">
        <v>157</v>
      </c>
      <c r="B39" s="73">
        <v>79.180000000000007</v>
      </c>
      <c r="C39" s="73">
        <v>84.375</v>
      </c>
      <c r="D39" s="73"/>
      <c r="E39" s="146"/>
      <c r="F39" s="146"/>
    </row>
    <row r="40" spans="1:6">
      <c r="A40" s="142" t="s">
        <v>158</v>
      </c>
      <c r="B40" s="73">
        <v>68.14</v>
      </c>
      <c r="C40" s="73">
        <v>74.05</v>
      </c>
      <c r="D40" s="73"/>
      <c r="E40" s="146"/>
      <c r="F40" s="146"/>
    </row>
    <row r="41" spans="1:6">
      <c r="A41" s="142" t="s">
        <v>159</v>
      </c>
      <c r="B41" s="73">
        <v>66</v>
      </c>
      <c r="C41" s="73">
        <v>71.1875</v>
      </c>
      <c r="D41" s="73"/>
      <c r="E41" s="146"/>
      <c r="F41" s="146"/>
    </row>
    <row r="42" spans="1:6">
      <c r="A42" s="142" t="s">
        <v>160</v>
      </c>
      <c r="B42" s="73">
        <v>63.242500000000007</v>
      </c>
      <c r="C42" s="73">
        <v>68.25</v>
      </c>
      <c r="D42" s="73"/>
      <c r="E42" s="146"/>
      <c r="F42" s="146"/>
    </row>
    <row r="43" spans="1:6">
      <c r="A43" s="142" t="s">
        <v>213</v>
      </c>
      <c r="B43" s="73">
        <v>58.83</v>
      </c>
      <c r="C43" s="73">
        <v>64.599999999999994</v>
      </c>
      <c r="D43" s="73"/>
      <c r="E43" s="146"/>
      <c r="F43" s="146"/>
    </row>
    <row r="44" spans="1:6">
      <c r="A44" s="142" t="s">
        <v>214</v>
      </c>
      <c r="B44" s="73">
        <v>55.474999999999994</v>
      </c>
      <c r="C44" s="73">
        <v>62.625</v>
      </c>
      <c r="D44" s="73"/>
      <c r="E44" s="146"/>
      <c r="F44" s="146"/>
    </row>
    <row r="45" spans="1:6">
      <c r="A45" s="142"/>
      <c r="B45" s="145"/>
      <c r="C45" s="145"/>
      <c r="D45" s="146"/>
      <c r="E45" s="146"/>
      <c r="F45" s="146"/>
    </row>
    <row r="46" spans="1:6">
      <c r="A46" s="142"/>
      <c r="B46" s="145"/>
      <c r="C46" s="145"/>
      <c r="D46" s="146"/>
      <c r="E46" s="146"/>
      <c r="F46" s="146"/>
    </row>
    <row r="47" spans="1:6">
      <c r="A47" s="142"/>
      <c r="B47" s="145"/>
      <c r="C47" s="145"/>
      <c r="D47" s="146"/>
      <c r="E47" s="146"/>
      <c r="F47" s="146"/>
    </row>
    <row r="48" spans="1:6">
      <c r="A48" s="142"/>
      <c r="B48" s="145"/>
      <c r="C48" s="145"/>
      <c r="D48" s="146"/>
      <c r="E48" s="146"/>
      <c r="F48" s="146"/>
    </row>
    <row r="49" spans="1:6">
      <c r="A49" s="142"/>
      <c r="B49" s="145"/>
      <c r="C49" s="145"/>
      <c r="D49" s="146"/>
      <c r="E49" s="146"/>
      <c r="F49" s="146"/>
    </row>
    <row r="50" spans="1:6">
      <c r="A50" s="142"/>
      <c r="B50" s="145"/>
      <c r="C50" s="145"/>
      <c r="D50" s="146"/>
      <c r="E50" s="146"/>
      <c r="F50" s="146"/>
    </row>
    <row r="51" spans="1:6">
      <c r="A51" s="142"/>
      <c r="B51" s="145"/>
      <c r="C51" s="145"/>
      <c r="D51" s="146"/>
      <c r="E51" s="146"/>
      <c r="F51" s="146"/>
    </row>
    <row r="52" spans="1:6">
      <c r="A52" s="142"/>
      <c r="B52" s="145"/>
      <c r="C52" s="145"/>
      <c r="D52" s="146"/>
      <c r="E52" s="146"/>
      <c r="F52" s="146"/>
    </row>
    <row r="53" spans="1:6">
      <c r="A53" s="142"/>
      <c r="D53" s="146"/>
      <c r="E53" s="146"/>
      <c r="F53" s="146"/>
    </row>
    <row r="54" spans="1:6">
      <c r="A54" s="142"/>
    </row>
    <row r="55" spans="1:6">
      <c r="A55" s="142"/>
    </row>
    <row r="56" spans="1:6">
      <c r="A56" s="142"/>
    </row>
    <row r="57" spans="1:6">
      <c r="A57" s="142"/>
    </row>
    <row r="58" spans="1:6">
      <c r="A58" s="142"/>
    </row>
    <row r="59" spans="1:6">
      <c r="A59" s="144"/>
    </row>
    <row r="60" spans="1:6">
      <c r="A60" s="144"/>
    </row>
    <row r="61" spans="1:6">
      <c r="A61" s="144"/>
    </row>
    <row r="62" spans="1:6">
      <c r="A62" s="144"/>
    </row>
    <row r="63" spans="1:6">
      <c r="A63" s="144"/>
    </row>
    <row r="64" spans="1:6">
      <c r="A64" s="144"/>
    </row>
    <row r="65" spans="1:1">
      <c r="A65" s="144"/>
    </row>
    <row r="66" spans="1:1">
      <c r="A66" s="144"/>
    </row>
    <row r="67" spans="1:1">
      <c r="A67" s="144"/>
    </row>
    <row r="68" spans="1:1">
      <c r="A68" s="144"/>
    </row>
    <row r="69" spans="1:1">
      <c r="A69" s="144"/>
    </row>
    <row r="70" spans="1:1">
      <c r="A70" s="144"/>
    </row>
    <row r="71" spans="1:1">
      <c r="A71" s="144"/>
    </row>
    <row r="72" spans="1:1">
      <c r="A72" s="144"/>
    </row>
    <row r="73" spans="1:1">
      <c r="A73" s="144"/>
    </row>
    <row r="74" spans="1:1">
      <c r="A74" s="144"/>
    </row>
    <row r="75" spans="1:1">
      <c r="A75" s="144"/>
    </row>
    <row r="76" spans="1:1">
      <c r="A76" s="144"/>
    </row>
    <row r="77" spans="1:1">
      <c r="A77" s="144"/>
    </row>
    <row r="78" spans="1:1">
      <c r="A78" s="144"/>
    </row>
    <row r="79" spans="1:1">
      <c r="A79" s="144"/>
    </row>
    <row r="80" spans="1:1">
      <c r="A80" s="144"/>
    </row>
    <row r="81" spans="1:1">
      <c r="A81" s="144"/>
    </row>
    <row r="82" spans="1:1">
      <c r="A82" s="144"/>
    </row>
    <row r="83" spans="1:1">
      <c r="A83" s="144"/>
    </row>
    <row r="84" spans="1:1">
      <c r="A84" s="144"/>
    </row>
    <row r="85" spans="1:1">
      <c r="A85" s="144"/>
    </row>
    <row r="86" spans="1:1">
      <c r="A86" s="144"/>
    </row>
    <row r="87" spans="1:1">
      <c r="A87" s="144"/>
    </row>
    <row r="88" spans="1:1">
      <c r="A88" s="144"/>
    </row>
    <row r="89" spans="1:1">
      <c r="A89" s="144"/>
    </row>
    <row r="90" spans="1:1">
      <c r="A90" s="144"/>
    </row>
    <row r="91" spans="1:1">
      <c r="A91" s="144"/>
    </row>
    <row r="92" spans="1:1">
      <c r="A92" s="144"/>
    </row>
    <row r="93" spans="1:1">
      <c r="A93" s="144"/>
    </row>
    <row r="94" spans="1:1">
      <c r="A94" s="144"/>
    </row>
    <row r="95" spans="1:1">
      <c r="A95" s="144"/>
    </row>
    <row r="96" spans="1:1">
      <c r="A96" s="144"/>
    </row>
    <row r="97" spans="1:1">
      <c r="A97" s="144"/>
    </row>
    <row r="98" spans="1:1">
      <c r="A98" s="144"/>
    </row>
    <row r="99" spans="1:1">
      <c r="A99" s="144"/>
    </row>
    <row r="100" spans="1:1">
      <c r="A100" s="144"/>
    </row>
    <row r="101" spans="1:1">
      <c r="A101" s="144"/>
    </row>
    <row r="102" spans="1:1">
      <c r="A102" s="144"/>
    </row>
    <row r="103" spans="1:1">
      <c r="A103" s="144"/>
    </row>
    <row r="104" spans="1:1">
      <c r="A104" s="144"/>
    </row>
    <row r="105" spans="1:1">
      <c r="A105" s="144"/>
    </row>
    <row r="106" spans="1:1">
      <c r="A106" s="144"/>
    </row>
    <row r="107" spans="1:1">
      <c r="A107" s="144"/>
    </row>
    <row r="108" spans="1:1">
      <c r="A108" s="144"/>
    </row>
    <row r="109" spans="1:1">
      <c r="A109" s="144"/>
    </row>
    <row r="110" spans="1:1">
      <c r="A110" s="144"/>
    </row>
    <row r="111" spans="1:1">
      <c r="A111" s="144"/>
    </row>
    <row r="112" spans="1:1">
      <c r="A112" s="144"/>
    </row>
    <row r="113" spans="1:1">
      <c r="A113" s="144"/>
    </row>
    <row r="114" spans="1:1">
      <c r="A114" s="144"/>
    </row>
    <row r="115" spans="1:1">
      <c r="A115" s="144"/>
    </row>
    <row r="116" spans="1:1">
      <c r="A116" s="144"/>
    </row>
    <row r="117" spans="1:1">
      <c r="A117" s="144"/>
    </row>
    <row r="118" spans="1:1">
      <c r="A118" s="144"/>
    </row>
    <row r="119" spans="1:1">
      <c r="A119" s="144"/>
    </row>
    <row r="120" spans="1:1">
      <c r="A120" s="144"/>
    </row>
    <row r="121" spans="1:1">
      <c r="A121" s="144"/>
    </row>
    <row r="122" spans="1:1">
      <c r="A122" s="144"/>
    </row>
    <row r="123" spans="1:1">
      <c r="A123" s="144"/>
    </row>
    <row r="124" spans="1:1">
      <c r="A124" s="144"/>
    </row>
    <row r="125" spans="1:1">
      <c r="A125" s="144"/>
    </row>
    <row r="126" spans="1:1">
      <c r="A126" s="144"/>
    </row>
    <row r="127" spans="1:1">
      <c r="A127" s="144"/>
    </row>
    <row r="128" spans="1:1">
      <c r="A128" s="144"/>
    </row>
    <row r="129" spans="1:1">
      <c r="A129" s="144"/>
    </row>
    <row r="130" spans="1:1">
      <c r="A130" s="144"/>
    </row>
    <row r="131" spans="1:1">
      <c r="A131" s="144"/>
    </row>
    <row r="132" spans="1:1">
      <c r="A132" s="144"/>
    </row>
    <row r="133" spans="1:1">
      <c r="A133" s="144"/>
    </row>
    <row r="134" spans="1:1">
      <c r="A134" s="144"/>
    </row>
    <row r="135" spans="1:1">
      <c r="A135" s="144"/>
    </row>
    <row r="136" spans="1:1">
      <c r="A136" s="144"/>
    </row>
    <row r="137" spans="1:1">
      <c r="A137" s="144"/>
    </row>
    <row r="138" spans="1:1">
      <c r="A138" s="144"/>
    </row>
    <row r="139" spans="1:1">
      <c r="A139" s="144"/>
    </row>
    <row r="140" spans="1:1">
      <c r="A140" s="144"/>
    </row>
    <row r="141" spans="1:1">
      <c r="A141" s="144"/>
    </row>
    <row r="142" spans="1:1">
      <c r="A142" s="144"/>
    </row>
    <row r="143" spans="1:1">
      <c r="A143" s="144"/>
    </row>
    <row r="144" spans="1:1">
      <c r="A144" s="144"/>
    </row>
    <row r="145" spans="1:1">
      <c r="A145" s="144"/>
    </row>
    <row r="146" spans="1:1">
      <c r="A146" s="144"/>
    </row>
    <row r="147" spans="1:1">
      <c r="A147" s="144"/>
    </row>
    <row r="148" spans="1:1">
      <c r="A148" s="144"/>
    </row>
    <row r="149" spans="1:1">
      <c r="A149" s="144"/>
    </row>
    <row r="150" spans="1:1">
      <c r="A150" s="144"/>
    </row>
    <row r="151" spans="1:1">
      <c r="A151" s="144"/>
    </row>
    <row r="152" spans="1:1">
      <c r="A152" s="144"/>
    </row>
    <row r="153" spans="1:1">
      <c r="A153" s="144"/>
    </row>
    <row r="154" spans="1:1">
      <c r="A154" s="144"/>
    </row>
    <row r="155" spans="1:1">
      <c r="A155" s="144"/>
    </row>
    <row r="156" spans="1:1">
      <c r="A156" s="144"/>
    </row>
    <row r="157" spans="1:1">
      <c r="A157" s="144"/>
    </row>
    <row r="158" spans="1:1">
      <c r="A158" s="144"/>
    </row>
    <row r="159" spans="1:1">
      <c r="A159" s="144"/>
    </row>
    <row r="160" spans="1:1">
      <c r="A160" s="144"/>
    </row>
    <row r="161" spans="1:1">
      <c r="A161" s="144"/>
    </row>
    <row r="162" spans="1:1">
      <c r="A162" s="144"/>
    </row>
    <row r="163" spans="1:1">
      <c r="A163" s="144"/>
    </row>
    <row r="164" spans="1:1">
      <c r="A164" s="144"/>
    </row>
    <row r="165" spans="1:1">
      <c r="A165" s="144"/>
    </row>
    <row r="166" spans="1:1">
      <c r="A166" s="144"/>
    </row>
    <row r="167" spans="1:1">
      <c r="A167" s="144"/>
    </row>
    <row r="168" spans="1:1">
      <c r="A168" s="144"/>
    </row>
    <row r="169" spans="1:1">
      <c r="A169" s="144"/>
    </row>
    <row r="170" spans="1:1">
      <c r="A170" s="144"/>
    </row>
    <row r="171" spans="1:1">
      <c r="A171" s="144"/>
    </row>
    <row r="172" spans="1:1">
      <c r="A172" s="144"/>
    </row>
    <row r="173" spans="1:1">
      <c r="A173" s="144"/>
    </row>
    <row r="174" spans="1:1">
      <c r="A174" s="144"/>
    </row>
    <row r="175" spans="1:1">
      <c r="A175" s="144"/>
    </row>
    <row r="176" spans="1:1">
      <c r="A176" s="144"/>
    </row>
    <row r="177" spans="1:1">
      <c r="A177" s="144"/>
    </row>
    <row r="178" spans="1:1">
      <c r="A178" s="144"/>
    </row>
    <row r="179" spans="1:1">
      <c r="A179" s="144"/>
    </row>
    <row r="180" spans="1:1">
      <c r="A180" s="144"/>
    </row>
    <row r="181" spans="1:1">
      <c r="A181" s="144"/>
    </row>
    <row r="182" spans="1:1">
      <c r="A182" s="144"/>
    </row>
    <row r="183" spans="1:1">
      <c r="A183" s="144"/>
    </row>
    <row r="184" spans="1:1">
      <c r="A184" s="144"/>
    </row>
    <row r="185" spans="1:1">
      <c r="A185" s="144"/>
    </row>
    <row r="186" spans="1:1">
      <c r="A186" s="144"/>
    </row>
    <row r="187" spans="1:1">
      <c r="A187" s="144"/>
    </row>
    <row r="188" spans="1:1">
      <c r="A188" s="144"/>
    </row>
    <row r="189" spans="1:1">
      <c r="A189" s="144"/>
    </row>
    <row r="190" spans="1:1">
      <c r="A190" s="144"/>
    </row>
    <row r="191" spans="1:1">
      <c r="A191" s="144"/>
    </row>
    <row r="192" spans="1:1">
      <c r="A192" s="144"/>
    </row>
    <row r="193" spans="1:1">
      <c r="A193" s="144"/>
    </row>
    <row r="194" spans="1:1">
      <c r="A194" s="144"/>
    </row>
    <row r="195" spans="1:1">
      <c r="A195" s="144"/>
    </row>
    <row r="196" spans="1:1">
      <c r="A196" s="144"/>
    </row>
    <row r="197" spans="1:1">
      <c r="A197" s="144"/>
    </row>
    <row r="198" spans="1:1">
      <c r="A198" s="144"/>
    </row>
    <row r="199" spans="1:1">
      <c r="A199" s="147"/>
    </row>
    <row r="200" spans="1:1">
      <c r="A200" s="147"/>
    </row>
    <row r="201" spans="1:1">
      <c r="A201" s="147"/>
    </row>
    <row r="202" spans="1:1">
      <c r="A202" s="147"/>
    </row>
    <row r="203" spans="1:1">
      <c r="A203" s="147"/>
    </row>
    <row r="204" spans="1:1">
      <c r="A204" s="144"/>
    </row>
    <row r="205" spans="1:1">
      <c r="A205" s="144"/>
    </row>
    <row r="206" spans="1:1">
      <c r="A206" s="144"/>
    </row>
    <row r="207" spans="1:1">
      <c r="A207" s="144"/>
    </row>
    <row r="208" spans="1:1">
      <c r="A208" s="144"/>
    </row>
    <row r="209" spans="1:1">
      <c r="A209" s="144"/>
    </row>
    <row r="210" spans="1:1">
      <c r="A210" s="144"/>
    </row>
    <row r="211" spans="1:1">
      <c r="A211" s="144"/>
    </row>
    <row r="212" spans="1:1">
      <c r="A212" s="144"/>
    </row>
    <row r="213" spans="1:1">
      <c r="A213" s="144"/>
    </row>
    <row r="214" spans="1:1">
      <c r="A214" s="144"/>
    </row>
    <row r="215" spans="1:1">
      <c r="A215" s="144"/>
    </row>
    <row r="216" spans="1:1">
      <c r="A216" s="144"/>
    </row>
    <row r="217" spans="1:1">
      <c r="A217" s="144"/>
    </row>
    <row r="218" spans="1:1">
      <c r="A218" s="144"/>
    </row>
    <row r="219" spans="1:1">
      <c r="A219" s="144"/>
    </row>
    <row r="220" spans="1:1">
      <c r="A220" s="144"/>
    </row>
    <row r="221" spans="1:1">
      <c r="A221" s="144"/>
    </row>
    <row r="222" spans="1:1">
      <c r="A222" s="144"/>
    </row>
    <row r="223" spans="1:1">
      <c r="A223" s="144"/>
    </row>
    <row r="224" spans="1:1">
      <c r="A224" s="144"/>
    </row>
    <row r="225" spans="1:1">
      <c r="A225" s="144"/>
    </row>
    <row r="226" spans="1:1">
      <c r="A226" s="144"/>
    </row>
    <row r="227" spans="1:1">
      <c r="A227" s="144"/>
    </row>
    <row r="228" spans="1:1">
      <c r="A228" s="144"/>
    </row>
    <row r="229" spans="1:1">
      <c r="A229" s="144"/>
    </row>
    <row r="230" spans="1:1">
      <c r="A230" s="144"/>
    </row>
    <row r="231" spans="1:1">
      <c r="A231" s="144"/>
    </row>
    <row r="232" spans="1:1">
      <c r="A232" s="144"/>
    </row>
    <row r="233" spans="1:1">
      <c r="A233" s="144"/>
    </row>
    <row r="234" spans="1:1">
      <c r="A234" s="144"/>
    </row>
    <row r="235" spans="1:1">
      <c r="A235" s="144"/>
    </row>
    <row r="236" spans="1:1">
      <c r="A236" s="144"/>
    </row>
    <row r="237" spans="1:1">
      <c r="A237" s="144"/>
    </row>
    <row r="238" spans="1:1">
      <c r="A238" s="144"/>
    </row>
    <row r="239" spans="1:1">
      <c r="A239" s="144"/>
    </row>
    <row r="240" spans="1:1">
      <c r="A240" s="144"/>
    </row>
    <row r="241" spans="1:1">
      <c r="A241" s="144"/>
    </row>
    <row r="242" spans="1:1">
      <c r="A242" s="144"/>
    </row>
    <row r="243" spans="1:1">
      <c r="A243" s="144"/>
    </row>
    <row r="244" spans="1:1">
      <c r="A244" s="144"/>
    </row>
    <row r="245" spans="1:1">
      <c r="A245" s="144"/>
    </row>
    <row r="246" spans="1:1">
      <c r="A246" s="144"/>
    </row>
    <row r="247" spans="1:1">
      <c r="A247" s="144"/>
    </row>
    <row r="248" spans="1:1">
      <c r="A248" s="144"/>
    </row>
    <row r="249" spans="1:1">
      <c r="A249" s="144"/>
    </row>
    <row r="250" spans="1:1">
      <c r="A250" s="144"/>
    </row>
    <row r="251" spans="1:1">
      <c r="A251" s="144"/>
    </row>
    <row r="252" spans="1:1">
      <c r="A252" s="144"/>
    </row>
    <row r="253" spans="1:1">
      <c r="A253" s="144"/>
    </row>
    <row r="254" spans="1:1">
      <c r="A254" s="144"/>
    </row>
    <row r="255" spans="1:1">
      <c r="A255" s="144"/>
    </row>
    <row r="256" spans="1:1">
      <c r="A256" s="144"/>
    </row>
    <row r="257" spans="1:1">
      <c r="A257" s="144"/>
    </row>
    <row r="258" spans="1:1">
      <c r="A258" s="144"/>
    </row>
    <row r="259" spans="1:1">
      <c r="A259" s="144"/>
    </row>
    <row r="260" spans="1:1">
      <c r="A260" s="144"/>
    </row>
    <row r="261" spans="1:1">
      <c r="A261" s="144"/>
    </row>
    <row r="262" spans="1:1">
      <c r="A262" s="144"/>
    </row>
    <row r="263" spans="1:1">
      <c r="A263" s="144"/>
    </row>
    <row r="264" spans="1:1">
      <c r="A264" s="144"/>
    </row>
    <row r="265" spans="1:1">
      <c r="A265" s="144"/>
    </row>
    <row r="266" spans="1:1">
      <c r="A266" s="144"/>
    </row>
    <row r="267" spans="1:1">
      <c r="A267" s="144"/>
    </row>
    <row r="268" spans="1:1">
      <c r="A268" s="14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AD51-59A3-4831-95C6-B45DD1D625AC}">
  <dimension ref="A1:D38"/>
  <sheetViews>
    <sheetView zoomScaleNormal="100" workbookViewId="0">
      <pane xSplit="1" ySplit="2" topLeftCell="B3" activePane="bottomRight" state="frozen"/>
      <selection activeCell="R22" sqref="R22"/>
      <selection pane="topRight" activeCell="R22" sqref="R22"/>
      <selection pane="bottomLeft" activeCell="R22" sqref="R22"/>
      <selection pane="bottomRight" activeCell="K34" sqref="K34"/>
    </sheetView>
  </sheetViews>
  <sheetFormatPr defaultColWidth="9.109375" defaultRowHeight="13.2"/>
  <cols>
    <col min="1" max="1" width="17" style="132" customWidth="1"/>
    <col min="2" max="2" width="21.33203125" style="132" customWidth="1"/>
    <col min="3" max="3" width="20.44140625" style="132" customWidth="1"/>
    <col min="4" max="4" width="15.33203125" style="132" customWidth="1"/>
    <col min="5" max="16384" width="9.109375" style="132"/>
  </cols>
  <sheetData>
    <row r="1" spans="1:4">
      <c r="B1" s="128" t="s">
        <v>216</v>
      </c>
      <c r="C1" s="133"/>
      <c r="D1" s="133"/>
    </row>
    <row r="2" spans="1:4" ht="26.4">
      <c r="A2" s="160" t="s">
        <v>217</v>
      </c>
      <c r="B2" s="135" t="s">
        <v>222</v>
      </c>
      <c r="C2" s="135" t="s">
        <v>223</v>
      </c>
      <c r="D2" s="135" t="s">
        <v>224</v>
      </c>
    </row>
    <row r="3" spans="1:4">
      <c r="A3" s="159">
        <v>2002</v>
      </c>
      <c r="B3" s="137">
        <v>244.83333333333334</v>
      </c>
      <c r="C3" s="136">
        <v>286.16666666666669</v>
      </c>
      <c r="D3" s="137">
        <v>284.58333333333331</v>
      </c>
    </row>
    <row r="4" spans="1:4">
      <c r="A4" s="159">
        <v>2003</v>
      </c>
      <c r="B4" s="137">
        <v>322.75</v>
      </c>
      <c r="C4" s="136">
        <v>320.75</v>
      </c>
      <c r="D4" s="137">
        <v>317.25</v>
      </c>
    </row>
    <row r="5" spans="1:4">
      <c r="A5" s="159">
        <v>2004</v>
      </c>
      <c r="B5" s="137">
        <v>276.91666666666669</v>
      </c>
      <c r="C5" s="137">
        <v>313</v>
      </c>
      <c r="D5" s="137">
        <v>261.91666666666669</v>
      </c>
    </row>
    <row r="6" spans="1:4">
      <c r="A6" s="159">
        <v>2005</v>
      </c>
      <c r="B6" s="137">
        <v>260.91666666666669</v>
      </c>
      <c r="C6" s="137">
        <v>291.41666666666669</v>
      </c>
      <c r="D6" s="137">
        <v>291.91666666666669</v>
      </c>
    </row>
    <row r="7" spans="1:4">
      <c r="A7" s="159">
        <v>2006</v>
      </c>
      <c r="B7" s="137">
        <v>335.41666666666669</v>
      </c>
      <c r="C7" s="136">
        <v>401.16666666666669</v>
      </c>
      <c r="D7" s="137">
        <v>375.16666666666669</v>
      </c>
    </row>
    <row r="8" spans="1:4">
      <c r="A8" s="159">
        <v>2007</v>
      </c>
      <c r="B8" s="137">
        <v>549.66666666666663</v>
      </c>
      <c r="C8" s="136">
        <v>745.25</v>
      </c>
      <c r="D8" s="137">
        <v>643.58333333333337</v>
      </c>
    </row>
    <row r="9" spans="1:4">
      <c r="A9" s="159">
        <v>2008</v>
      </c>
      <c r="B9" s="137">
        <v>420.83333333333331</v>
      </c>
      <c r="C9" s="136">
        <v>363.66666666666669</v>
      </c>
      <c r="D9" s="137">
        <v>392.83333333333331</v>
      </c>
    </row>
    <row r="10" spans="1:4">
      <c r="A10" s="159">
        <v>2009</v>
      </c>
      <c r="B10" s="137">
        <v>429.16666666666669</v>
      </c>
      <c r="C10" s="136">
        <v>451.91666666666669</v>
      </c>
      <c r="D10" s="137">
        <v>419.25</v>
      </c>
    </row>
    <row r="11" spans="1:4">
      <c r="A11" s="159">
        <v>2010</v>
      </c>
      <c r="B11" s="137">
        <v>549.25</v>
      </c>
      <c r="C11" s="136">
        <v>661.16666666666663</v>
      </c>
      <c r="D11" s="137">
        <v>647.25</v>
      </c>
    </row>
    <row r="12" spans="1:4">
      <c r="A12" s="159">
        <v>2011</v>
      </c>
      <c r="B12" s="137">
        <v>562.25</v>
      </c>
      <c r="C12" s="137">
        <v>592.58333333333337</v>
      </c>
      <c r="D12" s="137">
        <v>616.08333333333337</v>
      </c>
    </row>
    <row r="13" spans="1:4">
      <c r="A13" s="159">
        <v>2012</v>
      </c>
      <c r="B13" s="137">
        <v>557.16666666666663</v>
      </c>
      <c r="C13" s="137">
        <v>580.25</v>
      </c>
      <c r="D13" s="137">
        <v>578.5</v>
      </c>
    </row>
    <row r="14" spans="1:4">
      <c r="A14" s="159">
        <v>2013</v>
      </c>
      <c r="B14" s="137">
        <v>520.66666666666663</v>
      </c>
      <c r="C14" s="136">
        <v>466.08333333333331</v>
      </c>
      <c r="D14" s="137">
        <v>504.5</v>
      </c>
    </row>
    <row r="15" spans="1:4">
      <c r="A15" s="159">
        <v>2014</v>
      </c>
      <c r="B15" s="137">
        <v>407.08333333333331</v>
      </c>
      <c r="C15" s="136">
        <v>431.66666666666669</v>
      </c>
      <c r="D15" s="137">
        <v>416.83333333333331</v>
      </c>
    </row>
    <row r="16" spans="1:4">
      <c r="A16" s="159">
        <v>2015</v>
      </c>
      <c r="B16" s="137">
        <v>395.75</v>
      </c>
      <c r="C16" s="136">
        <v>439.75</v>
      </c>
      <c r="D16" s="137">
        <v>409.41666666666669</v>
      </c>
    </row>
    <row r="17" spans="1:4">
      <c r="A17" s="159">
        <v>2016</v>
      </c>
      <c r="B17" s="137">
        <v>403.58333333333331</v>
      </c>
      <c r="C17" s="136">
        <v>407.58333333333331</v>
      </c>
      <c r="D17" s="137">
        <v>431.58333333333331</v>
      </c>
    </row>
    <row r="18" spans="1:4">
      <c r="A18" s="159">
        <v>2017</v>
      </c>
      <c r="B18" s="137">
        <v>403.41666666666669</v>
      </c>
      <c r="C18" s="136">
        <v>402.75</v>
      </c>
      <c r="D18" s="137">
        <v>424.66666666666669</v>
      </c>
    </row>
    <row r="19" spans="1:4">
      <c r="A19" s="159">
        <v>2018</v>
      </c>
      <c r="B19" s="137">
        <v>369.91666666666669</v>
      </c>
      <c r="C19" s="137">
        <v>380.08333333333331</v>
      </c>
      <c r="D19" s="137">
        <v>419.91666666666669</v>
      </c>
    </row>
    <row r="20" spans="1:4">
      <c r="A20" s="159">
        <v>2019</v>
      </c>
      <c r="B20" s="137">
        <v>379.83333333333331</v>
      </c>
      <c r="C20" s="137">
        <v>420</v>
      </c>
      <c r="D20" s="137">
        <v>432.75</v>
      </c>
    </row>
    <row r="21" spans="1:4">
      <c r="A21" s="159">
        <v>2020</v>
      </c>
      <c r="B21" s="137">
        <v>563.25</v>
      </c>
      <c r="C21" s="136">
        <v>684.66666666666663</v>
      </c>
      <c r="D21" s="137">
        <v>593.66666666666663</v>
      </c>
    </row>
    <row r="22" spans="1:4">
      <c r="A22" s="159">
        <v>2021</v>
      </c>
      <c r="B22" s="137">
        <v>639.66666666666663</v>
      </c>
      <c r="C22" s="136">
        <v>762.58333333333337</v>
      </c>
      <c r="D22" s="137">
        <v>822.08333333333337</v>
      </c>
    </row>
    <row r="23" spans="1:4">
      <c r="A23" s="159" t="s">
        <v>218</v>
      </c>
      <c r="B23" s="137">
        <v>621</v>
      </c>
      <c r="C23" s="136">
        <v>581.28571428571433</v>
      </c>
      <c r="D23" s="137">
        <v>580.57142857142856</v>
      </c>
    </row>
    <row r="24" spans="1:4">
      <c r="A24" s="159"/>
      <c r="B24" s="136"/>
      <c r="C24" s="136"/>
      <c r="D24" s="137"/>
    </row>
    <row r="25" spans="1:4">
      <c r="A25" s="134"/>
      <c r="B25" s="136"/>
      <c r="C25" s="136"/>
      <c r="D25" s="137"/>
    </row>
    <row r="26" spans="1:4">
      <c r="A26" s="134"/>
      <c r="B26" s="137"/>
      <c r="C26" s="137"/>
      <c r="D26" s="137"/>
    </row>
    <row r="27" spans="1:4">
      <c r="A27" s="134"/>
      <c r="B27" s="137"/>
      <c r="C27" s="137"/>
      <c r="D27" s="137"/>
    </row>
    <row r="28" spans="1:4">
      <c r="A28" s="134"/>
      <c r="B28" s="136"/>
      <c r="C28" s="136"/>
      <c r="D28" s="137"/>
    </row>
    <row r="29" spans="1:4">
      <c r="A29" s="134"/>
      <c r="B29" s="136"/>
      <c r="C29" s="136"/>
      <c r="D29" s="137"/>
    </row>
    <row r="30" spans="1:4">
      <c r="A30" s="134"/>
      <c r="B30" s="136"/>
      <c r="C30" s="136"/>
      <c r="D30" s="137"/>
    </row>
    <row r="31" spans="1:4">
      <c r="A31" s="134"/>
      <c r="B31" s="136"/>
      <c r="C31" s="136"/>
      <c r="D31" s="137"/>
    </row>
    <row r="32" spans="1:4">
      <c r="A32" s="134"/>
      <c r="B32" s="136"/>
      <c r="C32" s="136"/>
      <c r="D32" s="137"/>
    </row>
    <row r="33" spans="1:4">
      <c r="A33" s="134"/>
      <c r="B33" s="137"/>
      <c r="C33" s="137"/>
      <c r="D33" s="137"/>
    </row>
    <row r="35" spans="1:4">
      <c r="B35" s="137"/>
      <c r="C35" s="137"/>
      <c r="D35" s="137"/>
    </row>
    <row r="36" spans="1:4">
      <c r="B36" s="137"/>
      <c r="C36" s="137"/>
      <c r="D36" s="137"/>
    </row>
    <row r="37" spans="1:4">
      <c r="B37" s="137"/>
      <c r="C37" s="137"/>
    </row>
    <row r="38" spans="1:4">
      <c r="B38" s="138"/>
      <c r="C38" s="13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99BA-B265-490B-9FD3-060B5B03D007}">
  <dimension ref="A1:I34"/>
  <sheetViews>
    <sheetView zoomScaleNormal="100" workbookViewId="0"/>
  </sheetViews>
  <sheetFormatPr defaultColWidth="9.109375" defaultRowHeight="13.2"/>
  <cols>
    <col min="1" max="1" width="12.6640625" style="113" bestFit="1" customWidth="1"/>
    <col min="2" max="2" width="12.6640625" style="113" customWidth="1"/>
    <col min="3" max="3" width="12.33203125" style="113" customWidth="1"/>
    <col min="4" max="4" width="13.77734375" style="113" customWidth="1"/>
    <col min="5" max="5" width="19.21875" style="113" customWidth="1"/>
    <col min="6" max="6" width="13.6640625" style="113" customWidth="1"/>
    <col min="7" max="16384" width="9.109375" style="113"/>
  </cols>
  <sheetData>
    <row r="1" spans="1:9" ht="26.4">
      <c r="A1" s="119" t="s">
        <v>148</v>
      </c>
      <c r="B1" s="119" t="s">
        <v>219</v>
      </c>
      <c r="C1" s="119" t="s">
        <v>220</v>
      </c>
      <c r="D1" s="119" t="s">
        <v>199</v>
      </c>
      <c r="E1" s="119" t="s">
        <v>221</v>
      </c>
      <c r="F1" s="119" t="s">
        <v>225</v>
      </c>
      <c r="G1" s="149"/>
    </row>
    <row r="2" spans="1:9">
      <c r="A2" s="126" t="s">
        <v>106</v>
      </c>
      <c r="B2" s="139">
        <v>9.4749999999999996</v>
      </c>
      <c r="C2" s="139">
        <v>3.3290000000000002</v>
      </c>
      <c r="D2" s="140">
        <v>4.2990000000000004</v>
      </c>
      <c r="E2" s="140">
        <v>3.0459999999999998</v>
      </c>
      <c r="F2" s="140">
        <v>3.0640000000000001</v>
      </c>
      <c r="G2" s="151"/>
      <c r="H2" s="151"/>
      <c r="I2" s="141"/>
    </row>
    <row r="3" spans="1:9">
      <c r="A3" s="126" t="s">
        <v>107</v>
      </c>
      <c r="B3" s="139">
        <v>9.4670000000000005</v>
      </c>
      <c r="C3" s="139">
        <v>4.9470000000000001</v>
      </c>
      <c r="D3" s="140">
        <v>4.2679999999999998</v>
      </c>
      <c r="E3" s="140">
        <v>2.2599999999999998</v>
      </c>
      <c r="F3" s="140">
        <v>2.3319999999999999</v>
      </c>
      <c r="G3" s="141"/>
      <c r="H3" s="151"/>
      <c r="I3" s="141"/>
    </row>
    <row r="4" spans="1:9">
      <c r="A4" s="126" t="s">
        <v>108</v>
      </c>
      <c r="B4" s="139">
        <v>9.6120000000000001</v>
      </c>
      <c r="C4" s="139">
        <v>6.274</v>
      </c>
      <c r="D4" s="140">
        <v>3.9729999999999999</v>
      </c>
      <c r="E4" s="140">
        <v>2.9350000000000001</v>
      </c>
      <c r="F4" s="140">
        <v>2.649</v>
      </c>
      <c r="G4" s="141"/>
      <c r="H4" s="151"/>
      <c r="I4" s="141"/>
    </row>
    <row r="5" spans="1:9">
      <c r="A5" s="126" t="s">
        <v>109</v>
      </c>
      <c r="B5" s="139">
        <v>10.843999999999999</v>
      </c>
      <c r="C5" s="139">
        <v>6.6790000000000003</v>
      </c>
      <c r="D5" s="140">
        <v>4.556</v>
      </c>
      <c r="E5" s="140">
        <v>2.5430000000000001</v>
      </c>
      <c r="F5" s="140">
        <v>2.1309999999999998</v>
      </c>
      <c r="G5" s="141"/>
      <c r="H5" s="151"/>
      <c r="I5" s="141"/>
    </row>
    <row r="6" spans="1:9">
      <c r="A6" s="126" t="s">
        <v>110</v>
      </c>
      <c r="B6" s="139">
        <v>8.7899999999999991</v>
      </c>
      <c r="C6" s="139">
        <v>5.6989999999999998</v>
      </c>
      <c r="D6" s="140">
        <v>4.0220000000000002</v>
      </c>
      <c r="E6" s="140">
        <v>2.0459999999999998</v>
      </c>
      <c r="F6" s="140">
        <v>2.3860000000000001</v>
      </c>
      <c r="G6" s="141"/>
      <c r="H6" s="151"/>
      <c r="I6" s="141"/>
    </row>
    <row r="7" spans="1:9">
      <c r="A7" s="120" t="s">
        <v>111</v>
      </c>
      <c r="B7" s="139">
        <v>10.218</v>
      </c>
      <c r="C7" s="139">
        <v>4.2430000000000003</v>
      </c>
      <c r="D7" s="140">
        <v>4.2370000000000001</v>
      </c>
      <c r="E7" s="140">
        <v>2.6030000000000002</v>
      </c>
      <c r="F7" s="140">
        <v>2.222</v>
      </c>
      <c r="G7" s="141"/>
      <c r="H7" s="151"/>
      <c r="I7" s="141"/>
    </row>
    <row r="8" spans="1:9">
      <c r="A8" s="120" t="s">
        <v>112</v>
      </c>
      <c r="B8" s="139">
        <v>12.929</v>
      </c>
      <c r="C8" s="139">
        <v>3.39</v>
      </c>
      <c r="D8" s="140">
        <v>4.34</v>
      </c>
      <c r="E8" s="140">
        <v>2.6059999999999999</v>
      </c>
      <c r="F8" s="140">
        <v>3.306</v>
      </c>
      <c r="G8" s="141"/>
      <c r="H8" s="151"/>
      <c r="I8" s="141"/>
    </row>
    <row r="9" spans="1:9">
      <c r="A9" s="120" t="s">
        <v>113</v>
      </c>
      <c r="B9" s="139">
        <v>14.951000000000001</v>
      </c>
      <c r="C9" s="139">
        <v>2.9830000000000001</v>
      </c>
      <c r="D9" s="140">
        <v>4.7560000000000002</v>
      </c>
      <c r="E9" s="140">
        <v>2.3420000000000001</v>
      </c>
      <c r="F9" s="140">
        <v>3.2519999999999998</v>
      </c>
      <c r="G9" s="141"/>
      <c r="H9" s="151"/>
      <c r="I9" s="141"/>
    </row>
    <row r="10" spans="1:9">
      <c r="A10" s="120" t="s">
        <v>114</v>
      </c>
      <c r="B10" s="139">
        <v>15.755000000000001</v>
      </c>
      <c r="C10" s="139">
        <v>2.859</v>
      </c>
      <c r="D10" s="140">
        <v>5.37</v>
      </c>
      <c r="E10" s="140">
        <v>2.786</v>
      </c>
      <c r="F10" s="140">
        <v>3.2480000000000002</v>
      </c>
      <c r="G10" s="141"/>
      <c r="H10" s="151"/>
      <c r="I10" s="141"/>
    </row>
    <row r="11" spans="1:9">
      <c r="A11" s="120" t="s">
        <v>34</v>
      </c>
      <c r="B11" s="139">
        <v>15.189</v>
      </c>
      <c r="C11" s="139">
        <v>3.48</v>
      </c>
      <c r="D11" s="140">
        <v>5.3609999999999998</v>
      </c>
      <c r="E11" s="140">
        <v>1.84</v>
      </c>
      <c r="F11" s="140">
        <v>2.8149999999999999</v>
      </c>
      <c r="G11" s="141"/>
      <c r="H11" s="151"/>
      <c r="I11" s="141"/>
    </row>
    <row r="12" spans="1:9">
      <c r="A12" s="117" t="s">
        <v>37</v>
      </c>
      <c r="B12" s="139">
        <v>16.32</v>
      </c>
      <c r="C12" s="139">
        <v>2.6749999999999998</v>
      </c>
      <c r="D12" s="140">
        <v>4.67</v>
      </c>
      <c r="E12" s="140">
        <v>2.581</v>
      </c>
      <c r="F12" s="140">
        <v>2.8530000000000002</v>
      </c>
      <c r="G12" s="141"/>
      <c r="I12" s="141"/>
    </row>
    <row r="13" spans="1:9">
      <c r="A13" s="117" t="s">
        <v>196</v>
      </c>
      <c r="B13" s="139">
        <v>16.916</v>
      </c>
      <c r="C13" s="139">
        <v>3.0049999999999999</v>
      </c>
      <c r="D13" s="140">
        <v>4.5579999999999998</v>
      </c>
      <c r="E13" s="140">
        <v>3.0739999999999998</v>
      </c>
      <c r="F13" s="140">
        <v>2.4980000000000002</v>
      </c>
      <c r="G13" s="141"/>
      <c r="I13" s="141"/>
    </row>
    <row r="14" spans="1:9">
      <c r="A14" s="117" t="s">
        <v>150</v>
      </c>
      <c r="B14" s="139">
        <v>16.521999999999998</v>
      </c>
      <c r="C14" s="139">
        <v>3.3330000000000002</v>
      </c>
      <c r="D14" s="140">
        <v>5.28</v>
      </c>
      <c r="E14" s="140">
        <v>2.8540000000000001</v>
      </c>
      <c r="F14" s="140">
        <v>2.601</v>
      </c>
      <c r="G14" s="141"/>
    </row>
    <row r="15" spans="1:9">
      <c r="C15" s="139"/>
      <c r="D15" s="139"/>
      <c r="E15" s="139"/>
      <c r="F15" s="139"/>
      <c r="G15" s="150"/>
    </row>
    <row r="16" spans="1:9">
      <c r="C16" s="139"/>
      <c r="D16" s="139"/>
      <c r="E16" s="139"/>
      <c r="F16" s="139"/>
      <c r="G16" s="150"/>
    </row>
    <row r="17" spans="3:7">
      <c r="C17" s="139"/>
      <c r="D17" s="139"/>
      <c r="E17" s="139"/>
      <c r="F17" s="139"/>
      <c r="G17" s="150"/>
    </row>
    <row r="18" spans="3:7">
      <c r="C18" s="139"/>
      <c r="D18" s="139"/>
      <c r="E18" s="139"/>
      <c r="F18" s="139"/>
      <c r="G18" s="150"/>
    </row>
    <row r="19" spans="3:7">
      <c r="C19" s="139"/>
      <c r="D19" s="139"/>
      <c r="E19" s="139"/>
      <c r="F19" s="139"/>
      <c r="G19" s="150"/>
    </row>
    <row r="20" spans="3:7">
      <c r="C20" s="139"/>
      <c r="D20" s="139"/>
      <c r="E20" s="139"/>
      <c r="F20" s="139"/>
      <c r="G20" s="150"/>
    </row>
    <row r="21" spans="3:7">
      <c r="C21" s="139"/>
      <c r="D21" s="139"/>
      <c r="E21" s="139"/>
      <c r="F21" s="139"/>
      <c r="G21" s="150"/>
    </row>
    <row r="22" spans="3:7">
      <c r="C22" s="139"/>
      <c r="D22" s="139"/>
      <c r="E22" s="139"/>
      <c r="F22" s="139"/>
      <c r="G22" s="150"/>
    </row>
    <row r="23" spans="3:7">
      <c r="C23" s="139"/>
      <c r="D23" s="139"/>
      <c r="E23" s="139"/>
      <c r="F23" s="139"/>
      <c r="G23" s="150"/>
    </row>
    <row r="24" spans="3:7">
      <c r="C24" s="139"/>
      <c r="D24" s="139"/>
      <c r="E24" s="139"/>
      <c r="F24" s="139"/>
      <c r="G24" s="150"/>
    </row>
    <row r="25" spans="3:7">
      <c r="C25" s="139"/>
      <c r="D25" s="139"/>
      <c r="E25" s="139"/>
      <c r="F25" s="139"/>
      <c r="G25" s="150"/>
    </row>
    <row r="26" spans="3:7">
      <c r="C26" s="139"/>
      <c r="D26" s="139"/>
      <c r="E26" s="139"/>
      <c r="F26" s="139"/>
      <c r="G26" s="150"/>
    </row>
    <row r="27" spans="3:7">
      <c r="C27" s="130"/>
      <c r="E27" s="130"/>
    </row>
    <row r="28" spans="3:7">
      <c r="C28" s="130"/>
      <c r="E28" s="130"/>
    </row>
    <row r="29" spans="3:7">
      <c r="C29" s="130"/>
      <c r="E29" s="130"/>
    </row>
    <row r="30" spans="3:7">
      <c r="C30" s="130"/>
      <c r="E30" s="130"/>
    </row>
    <row r="31" spans="3:7">
      <c r="C31" s="130"/>
      <c r="E31" s="130"/>
    </row>
    <row r="32" spans="3:7">
      <c r="C32" s="130"/>
      <c r="E32" s="130"/>
    </row>
    <row r="33" spans="3:3">
      <c r="C33" s="130"/>
    </row>
    <row r="34" spans="3:3">
      <c r="C34" s="1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9"/>
  <sheetViews>
    <sheetView showGridLines="0" zoomScale="70" zoomScaleNormal="70" workbookViewId="0"/>
  </sheetViews>
  <sheetFormatPr defaultColWidth="9.109375" defaultRowHeight="13.2"/>
  <cols>
    <col min="1" max="1" width="21.6640625" customWidth="1"/>
    <col min="2" max="2" width="14.109375" bestFit="1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8.6640625" bestFit="1" customWidth="1"/>
    <col min="8" max="8" width="9.6640625" customWidth="1"/>
    <col min="9" max="9" width="1.6640625" customWidth="1"/>
    <col min="10" max="10" width="12.441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0.109375" bestFit="1" customWidth="1"/>
  </cols>
  <sheetData>
    <row r="1" spans="1:23" ht="13.8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3" ht="13.8">
      <c r="A2" s="16"/>
      <c r="B2" s="17" t="s">
        <v>13</v>
      </c>
      <c r="C2" s="124"/>
      <c r="D2" s="18" t="s">
        <v>14</v>
      </c>
      <c r="E2" s="19"/>
      <c r="F2" s="124" t="s">
        <v>15</v>
      </c>
      <c r="G2" s="124"/>
      <c r="H2" s="124"/>
      <c r="I2" s="16"/>
      <c r="J2" s="19"/>
      <c r="K2" s="124"/>
      <c r="L2" s="20" t="s">
        <v>16</v>
      </c>
      <c r="M2" s="124"/>
      <c r="N2" s="16"/>
    </row>
    <row r="3" spans="1:23" ht="13.8">
      <c r="A3" s="16" t="s">
        <v>17</v>
      </c>
      <c r="B3" s="18" t="s">
        <v>18</v>
      </c>
      <c r="C3" s="16" t="s">
        <v>19</v>
      </c>
      <c r="D3" s="18"/>
      <c r="E3" s="21" t="s">
        <v>20</v>
      </c>
      <c r="F3" s="21"/>
      <c r="G3" s="21"/>
      <c r="H3" s="21"/>
      <c r="I3" s="21"/>
      <c r="J3" s="18" t="s">
        <v>21</v>
      </c>
      <c r="K3" s="21" t="s">
        <v>22</v>
      </c>
      <c r="L3" s="21"/>
      <c r="M3" s="21"/>
      <c r="N3" s="21" t="s">
        <v>23</v>
      </c>
    </row>
    <row r="4" spans="1:23" ht="13.8">
      <c r="A4" s="22" t="s">
        <v>24</v>
      </c>
      <c r="B4" s="23"/>
      <c r="C4" s="23"/>
      <c r="D4" s="23"/>
      <c r="E4" s="24" t="s">
        <v>25</v>
      </c>
      <c r="F4" s="24" t="s">
        <v>26</v>
      </c>
      <c r="G4" s="25" t="s">
        <v>27</v>
      </c>
      <c r="H4" s="26" t="s">
        <v>28</v>
      </c>
      <c r="I4" s="25"/>
      <c r="J4" s="25"/>
      <c r="K4" s="25" t="s">
        <v>29</v>
      </c>
      <c r="L4" s="26" t="s">
        <v>30</v>
      </c>
      <c r="M4" s="24" t="s">
        <v>28</v>
      </c>
      <c r="N4" s="25" t="s">
        <v>25</v>
      </c>
      <c r="W4" s="27"/>
    </row>
    <row r="5" spans="1:23" ht="14.4">
      <c r="A5" s="16"/>
      <c r="B5" s="28" t="s">
        <v>31</v>
      </c>
      <c r="C5" s="125"/>
      <c r="D5" s="29" t="s">
        <v>32</v>
      </c>
      <c r="G5" s="28"/>
      <c r="I5" s="28"/>
      <c r="J5" s="28" t="s">
        <v>33</v>
      </c>
      <c r="K5" s="28"/>
      <c r="L5" s="28"/>
      <c r="M5" s="28"/>
      <c r="N5" s="28"/>
      <c r="W5" s="27"/>
    </row>
    <row r="6" spans="1:23" ht="16.5" customHeight="1">
      <c r="A6" s="16" t="s">
        <v>37</v>
      </c>
      <c r="B6" s="30">
        <v>87.194999999999993</v>
      </c>
      <c r="C6" s="30">
        <v>86.311999999999998</v>
      </c>
      <c r="D6" s="30">
        <f>F6/C6</f>
        <v>51.735355454629712</v>
      </c>
      <c r="E6" s="31">
        <v>256.97899999999998</v>
      </c>
      <c r="F6" s="32">
        <f>F27</f>
        <v>4465.3819999999996</v>
      </c>
      <c r="G6" s="33">
        <f>G27</f>
        <v>15.9101740464</v>
      </c>
      <c r="H6" s="33">
        <f>SUM(E6:G6)</f>
        <v>4738.2711740464001</v>
      </c>
      <c r="I6" s="16"/>
      <c r="J6" s="32">
        <f>J27</f>
        <v>2203.8901705391709</v>
      </c>
      <c r="K6" s="32">
        <f t="shared" ref="K6:K8" si="0">M6-L6-J6</f>
        <v>102.34031607682891</v>
      </c>
      <c r="L6" s="33">
        <f>L27</f>
        <v>2157.6466874304001</v>
      </c>
      <c r="M6" s="33">
        <f>H6-N6</f>
        <v>4463.8771740463999</v>
      </c>
      <c r="N6" s="33">
        <f>N26</f>
        <v>274.39400000000001</v>
      </c>
    </row>
    <row r="7" spans="1:23" ht="16.5" customHeight="1">
      <c r="A7" s="16" t="s">
        <v>188</v>
      </c>
      <c r="B7" s="30">
        <v>87.45</v>
      </c>
      <c r="C7" s="30">
        <v>86.335999999999999</v>
      </c>
      <c r="D7" s="30">
        <f>F7/C7</f>
        <v>49.528852390659743</v>
      </c>
      <c r="E7" s="31">
        <f>N6</f>
        <v>274.39400000000001</v>
      </c>
      <c r="F7" s="32">
        <v>4276.1229999999996</v>
      </c>
      <c r="G7" s="33">
        <v>20</v>
      </c>
      <c r="H7" s="33">
        <f>SUM(E7:G7)</f>
        <v>4570.5169999999998</v>
      </c>
      <c r="I7" s="16"/>
      <c r="J7" s="32">
        <v>2220</v>
      </c>
      <c r="K7" s="32">
        <f t="shared" si="0"/>
        <v>120.27800000000025</v>
      </c>
      <c r="L7" s="33">
        <v>2015</v>
      </c>
      <c r="M7" s="33">
        <f>H7-N7</f>
        <v>4355.2780000000002</v>
      </c>
      <c r="N7" s="33">
        <v>215.239</v>
      </c>
    </row>
    <row r="8" spans="1:23" ht="16.5" customHeight="1">
      <c r="A8" s="16" t="s">
        <v>187</v>
      </c>
      <c r="B8" s="30">
        <v>87.504999999999995</v>
      </c>
      <c r="C8" s="30">
        <v>86.7</v>
      </c>
      <c r="D8" s="30">
        <f>F8/C8</f>
        <v>52.018454440599768</v>
      </c>
      <c r="E8" s="31">
        <f>N7</f>
        <v>215.239</v>
      </c>
      <c r="F8" s="32">
        <v>4510</v>
      </c>
      <c r="G8" s="33">
        <v>20</v>
      </c>
      <c r="H8" s="33">
        <f>SUM(E8:G8)</f>
        <v>4745.2389999999996</v>
      </c>
      <c r="I8" s="16"/>
      <c r="J8" s="32">
        <v>2310</v>
      </c>
      <c r="K8" s="32">
        <f t="shared" si="0"/>
        <v>125.23899999999958</v>
      </c>
      <c r="L8" s="33">
        <v>1975</v>
      </c>
      <c r="M8" s="33">
        <f>H8-N8</f>
        <v>4410.2389999999996</v>
      </c>
      <c r="N8" s="33">
        <v>335</v>
      </c>
    </row>
    <row r="9" spans="1:23" ht="16.5" customHeight="1">
      <c r="A9" s="16"/>
      <c r="B9" s="16"/>
      <c r="C9" s="16"/>
      <c r="D9" s="16"/>
      <c r="E9" s="34"/>
      <c r="F9" s="34"/>
      <c r="G9" s="35"/>
      <c r="H9" s="34"/>
      <c r="I9" s="34"/>
      <c r="J9" s="35"/>
      <c r="K9" s="35"/>
      <c r="L9" s="35"/>
      <c r="M9" s="35"/>
      <c r="N9" s="35"/>
    </row>
    <row r="10" spans="1:23" ht="16.5" customHeight="1">
      <c r="A10" s="36" t="s">
        <v>37</v>
      </c>
      <c r="B10" s="106"/>
      <c r="C10" s="106"/>
      <c r="D10" s="106"/>
      <c r="E10" s="38"/>
      <c r="F10" s="39"/>
      <c r="G10" s="6"/>
      <c r="H10" s="13"/>
      <c r="I10" s="106"/>
      <c r="J10" s="13"/>
      <c r="K10" s="37"/>
      <c r="L10" s="6"/>
      <c r="M10" s="6"/>
      <c r="N10" s="13"/>
    </row>
    <row r="11" spans="1:23" ht="16.5" customHeight="1">
      <c r="A11" s="16" t="s">
        <v>38</v>
      </c>
      <c r="B11" s="106"/>
      <c r="C11" s="106"/>
      <c r="D11" s="111"/>
      <c r="E11" s="38"/>
      <c r="F11" s="39"/>
      <c r="G11" s="6">
        <f>(24488.6*36.744)/1000000</f>
        <v>0.89980911839999989</v>
      </c>
      <c r="I11" s="106"/>
      <c r="J11" s="13">
        <f>((4924574*0.907185)*36.744)/1000000</f>
        <v>164.15380766099736</v>
      </c>
      <c r="K11" s="37"/>
      <c r="L11" s="6">
        <f>(2098690.6*36.744)/1000000</f>
        <v>77.11428740640001</v>
      </c>
      <c r="M11" s="6"/>
      <c r="N11" s="13"/>
      <c r="Q11" s="111"/>
    </row>
    <row r="12" spans="1:23" ht="16.5" customHeight="1">
      <c r="A12" s="16" t="s">
        <v>39</v>
      </c>
      <c r="B12" s="106"/>
      <c r="C12" s="106"/>
      <c r="D12" s="111"/>
      <c r="E12" s="38"/>
      <c r="F12" s="39"/>
      <c r="G12" s="6">
        <f>(19229.4*36.744)/1000000</f>
        <v>0.70656507359999998</v>
      </c>
      <c r="I12" s="106"/>
      <c r="J12" s="13">
        <f>((5908157*0.907185)*36.744)/1000000</f>
        <v>196.9401754972055</v>
      </c>
      <c r="K12" s="37"/>
      <c r="L12" s="6">
        <f>(10749625.7*36.744)/1000000</f>
        <v>394.9842467208</v>
      </c>
      <c r="M12" s="6"/>
      <c r="N12" s="13"/>
      <c r="Q12" s="111"/>
    </row>
    <row r="13" spans="1:23" ht="16.5" customHeight="1">
      <c r="A13" s="16" t="s">
        <v>40</v>
      </c>
      <c r="B13" s="106"/>
      <c r="C13" s="106"/>
      <c r="D13" s="111"/>
      <c r="E13" s="38"/>
      <c r="F13" s="39"/>
      <c r="G13" s="6">
        <f>(34894.1*36.744)/1000000</f>
        <v>1.2821488103999998</v>
      </c>
      <c r="I13" s="106"/>
      <c r="J13" s="13">
        <f>((5717943*0.907185)*36.744)/1000000</f>
        <v>190.59965703399854</v>
      </c>
      <c r="K13" s="37"/>
      <c r="L13" s="6">
        <f>(10581460.9*36.744)/1000000</f>
        <v>388.80519930959997</v>
      </c>
      <c r="M13" s="6"/>
      <c r="N13" s="13"/>
      <c r="Q13" s="111"/>
    </row>
    <row r="14" spans="1:23" ht="16.5" customHeight="1">
      <c r="A14" s="16" t="s">
        <v>41</v>
      </c>
      <c r="B14" s="106"/>
      <c r="C14" s="106"/>
      <c r="E14" s="38">
        <f>E6</f>
        <v>256.97899999999998</v>
      </c>
      <c r="F14" s="38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06"/>
      <c r="J14" s="13">
        <f>SUM(J11:J13)</f>
        <v>551.69364019220143</v>
      </c>
      <c r="K14" s="37">
        <f>M14-L14-J14</f>
        <v>176.1281493733984</v>
      </c>
      <c r="L14" s="6">
        <f>SUM(L11:L13)</f>
        <v>860.90373343679994</v>
      </c>
      <c r="M14" s="6">
        <f>H14-N14</f>
        <v>1588.7255230023998</v>
      </c>
      <c r="N14" s="13">
        <v>3136.5239999999999</v>
      </c>
    </row>
    <row r="15" spans="1:23" ht="16.5" customHeight="1">
      <c r="A15" s="16" t="s">
        <v>42</v>
      </c>
      <c r="B15" s="106"/>
      <c r="C15" s="106"/>
      <c r="D15" s="111"/>
      <c r="E15" s="38"/>
      <c r="F15" s="38"/>
      <c r="G15" s="6">
        <f>(27884.8*36.744)/1000000</f>
        <v>1.0245990912</v>
      </c>
      <c r="H15" s="13"/>
      <c r="I15" s="106"/>
      <c r="J15" s="13">
        <f>((5947222*0.907185)*36.744)/1000000</f>
        <v>198.24235280153209</v>
      </c>
      <c r="K15" s="37"/>
      <c r="L15" s="6">
        <f>(7940701.7*36.744)/1000000</f>
        <v>291.77314326480001</v>
      </c>
      <c r="M15" s="6"/>
      <c r="N15" s="13"/>
      <c r="Q15" s="111"/>
    </row>
    <row r="16" spans="1:23" ht="16.5" customHeight="1">
      <c r="A16" s="16" t="s">
        <v>43</v>
      </c>
      <c r="B16" s="106"/>
      <c r="C16" s="106"/>
      <c r="D16" s="111"/>
      <c r="E16" s="38"/>
      <c r="F16" s="38"/>
      <c r="G16" s="6">
        <f>(23947.4*36.744)/1000000</f>
        <v>0.8799232656</v>
      </c>
      <c r="H16" s="13"/>
      <c r="I16" s="106"/>
      <c r="J16" s="13">
        <f>((5828974*0.907185)*36.744)/1000000</f>
        <v>194.30072060181334</v>
      </c>
      <c r="K16" s="37"/>
      <c r="L16" s="6">
        <f>(6392108.3*36.744)/1000000</f>
        <v>234.87162737520001</v>
      </c>
      <c r="M16" s="6"/>
      <c r="N16" s="13"/>
      <c r="Q16" s="111"/>
    </row>
    <row r="17" spans="1:17" ht="16.5" customHeight="1">
      <c r="A17" s="16" t="s">
        <v>44</v>
      </c>
      <c r="B17" s="106"/>
      <c r="C17" s="106"/>
      <c r="D17" s="111"/>
      <c r="E17" s="38"/>
      <c r="F17" s="38"/>
      <c r="G17" s="6">
        <f>(47248.7*36.744)/1000000</f>
        <v>1.7361062327999999</v>
      </c>
      <c r="H17" s="13"/>
      <c r="I17" s="106"/>
      <c r="J17" s="13">
        <f>((5232453*0.907185)*36.744)/1000000</f>
        <v>174.41652483183492</v>
      </c>
      <c r="K17" s="37"/>
      <c r="L17" s="6">
        <f>(3791255.7*36.744)/1000000</f>
        <v>139.3058994408</v>
      </c>
      <c r="M17" s="6"/>
      <c r="N17" s="13"/>
      <c r="Q17" s="111"/>
    </row>
    <row r="18" spans="1:17" ht="16.5" customHeight="1">
      <c r="A18" s="16" t="s">
        <v>45</v>
      </c>
      <c r="B18" s="106"/>
      <c r="C18" s="106"/>
      <c r="E18" s="38">
        <f>N14</f>
        <v>3136.5239999999999</v>
      </c>
      <c r="F18" s="38"/>
      <c r="G18" s="6">
        <f>SUM(G15:G17)</f>
        <v>3.6406285895999999</v>
      </c>
      <c r="H18" s="13">
        <f>E18+F18+G18</f>
        <v>3140.1646285895999</v>
      </c>
      <c r="I18" s="106"/>
      <c r="J18" s="13">
        <f>SUM(J15:J17)</f>
        <v>566.95959823518035</v>
      </c>
      <c r="K18" s="37">
        <f>M18-L18-J18</f>
        <v>-24.562639726380439</v>
      </c>
      <c r="L18" s="6">
        <f>SUM(L15:L17)</f>
        <v>665.95067008080002</v>
      </c>
      <c r="M18" s="6">
        <f>H18-N18</f>
        <v>1208.3476285895999</v>
      </c>
      <c r="N18" s="13">
        <v>1931.817</v>
      </c>
      <c r="P18" s="40"/>
    </row>
    <row r="19" spans="1:17" ht="16.5" customHeight="1">
      <c r="A19" s="16" t="s">
        <v>46</v>
      </c>
      <c r="B19" s="106"/>
      <c r="C19" s="106"/>
      <c r="D19" s="111"/>
      <c r="E19" s="38"/>
      <c r="F19" s="38"/>
      <c r="G19" s="6">
        <f>(33665.9*36.744)/1000000</f>
        <v>1.2370198296000001</v>
      </c>
      <c r="H19" s="13"/>
      <c r="I19" s="106"/>
      <c r="J19" s="13">
        <f>((5786159*0.907185)*36.744)/1000000</f>
        <v>192.87354227633676</v>
      </c>
      <c r="K19" s="37"/>
      <c r="L19" s="6">
        <f>(3184420.8*36.744)/1000000</f>
        <v>117.00835787519999</v>
      </c>
      <c r="M19" s="6"/>
      <c r="N19" s="13"/>
      <c r="Q19" s="111"/>
    </row>
    <row r="20" spans="1:17" ht="16.5" customHeight="1">
      <c r="A20" s="16" t="s">
        <v>47</v>
      </c>
      <c r="B20" s="106"/>
      <c r="C20" s="106"/>
      <c r="D20" s="111"/>
      <c r="E20" s="38"/>
      <c r="F20" s="38"/>
      <c r="G20" s="6">
        <f>(49190.6*36.744)/1000000</f>
        <v>1.8074594064</v>
      </c>
      <c r="H20" s="13"/>
      <c r="I20" s="106"/>
      <c r="J20" s="13">
        <f>((5426712*0.907185)*36.744)/1000000</f>
        <v>180.89187772985568</v>
      </c>
      <c r="K20" s="37"/>
      <c r="L20" s="6">
        <f>(3657248.5*36.744)/1000000</f>
        <v>134.38193888399999</v>
      </c>
      <c r="M20" s="6"/>
      <c r="N20" s="13"/>
      <c r="Q20" s="111"/>
    </row>
    <row r="21" spans="1:17" ht="16.5" customHeight="1">
      <c r="A21" s="16" t="s">
        <v>48</v>
      </c>
      <c r="B21" s="106"/>
      <c r="C21" s="106"/>
      <c r="D21" s="111"/>
      <c r="E21" s="38"/>
      <c r="F21" s="38"/>
      <c r="G21" s="6">
        <f>(30553.6*36.744)/1000000</f>
        <v>1.1226614784</v>
      </c>
      <c r="H21" s="13"/>
      <c r="I21" s="106"/>
      <c r="J21" s="13">
        <f>((5427160*0.907185)*36.744)/1000000</f>
        <v>180.90681118518239</v>
      </c>
      <c r="K21" s="37"/>
      <c r="L21" s="6">
        <f>(2413962.6*36.744)/1000000</f>
        <v>88.698641774400002</v>
      </c>
      <c r="M21" s="6"/>
      <c r="N21" s="13"/>
      <c r="Q21" s="111"/>
    </row>
    <row r="22" spans="1:17" ht="16.5" customHeight="1">
      <c r="A22" s="16" t="s">
        <v>49</v>
      </c>
      <c r="B22" s="106"/>
      <c r="C22" s="106"/>
      <c r="E22" s="38">
        <f>N18</f>
        <v>1931.817</v>
      </c>
      <c r="F22" s="38"/>
      <c r="G22" s="6">
        <f>SUM(G19:G21)</f>
        <v>4.1671407144000003</v>
      </c>
      <c r="H22" s="13">
        <f>E22+F22+G22</f>
        <v>1935.9841407143999</v>
      </c>
      <c r="I22" s="106"/>
      <c r="J22" s="13">
        <f>SUM(J19:J21)</f>
        <v>554.67223119137486</v>
      </c>
      <c r="K22" s="37">
        <f>M22-L22-J22</f>
        <v>73.697970989425016</v>
      </c>
      <c r="L22" s="6">
        <f>SUM(L19:L21)</f>
        <v>340.08893853360001</v>
      </c>
      <c r="M22" s="6">
        <f>H22-N22</f>
        <v>968.45914071439995</v>
      </c>
      <c r="N22" s="13">
        <v>967.52499999999998</v>
      </c>
    </row>
    <row r="23" spans="1:17" ht="16.5" customHeight="1">
      <c r="A23" s="16" t="s">
        <v>50</v>
      </c>
      <c r="B23" s="106"/>
      <c r="C23" s="106"/>
      <c r="E23" s="38"/>
      <c r="F23" s="38"/>
      <c r="G23" s="6">
        <f>(21134.8*36.744)/1000000</f>
        <v>0.77657709120000007</v>
      </c>
      <c r="H23" s="13"/>
      <c r="I23" s="106"/>
      <c r="J23" s="13">
        <f>((5222412*0.907185)*36.744)/1000000</f>
        <v>174.08182209760369</v>
      </c>
      <c r="K23" s="37"/>
      <c r="L23" s="6">
        <f>(2271040.2*36.744)/1000000</f>
        <v>83.447101108800013</v>
      </c>
      <c r="M23" s="6"/>
      <c r="N23" s="13"/>
    </row>
    <row r="24" spans="1:17" ht="16.5" customHeight="1">
      <c r="A24" s="16" t="s">
        <v>51</v>
      </c>
      <c r="B24" s="106"/>
      <c r="C24" s="106"/>
      <c r="E24" s="38"/>
      <c r="F24" s="38"/>
      <c r="G24" s="6">
        <f>(60079*36.744)/1000000</f>
        <v>2.2075427759999999</v>
      </c>
      <c r="H24" s="13"/>
      <c r="I24" s="106"/>
      <c r="J24" s="13">
        <f>((5441780*0.907185)*36.744)/1000000</f>
        <v>181.39414849963919</v>
      </c>
      <c r="K24" s="37"/>
      <c r="L24" s="6">
        <f>(2323087.5*36.744)/1000000</f>
        <v>85.359527099999994</v>
      </c>
      <c r="M24" s="6"/>
      <c r="N24" s="13"/>
    </row>
    <row r="25" spans="1:17" ht="16.5" customHeight="1">
      <c r="A25" s="16" t="s">
        <v>52</v>
      </c>
      <c r="B25" s="106"/>
      <c r="C25" s="106"/>
      <c r="E25" s="38"/>
      <c r="F25" s="38"/>
      <c r="G25" s="6">
        <f>(60683.8*36.744)/1000000</f>
        <v>2.2297655472</v>
      </c>
      <c r="H25" s="13"/>
      <c r="I25" s="106"/>
      <c r="J25" s="13">
        <f>((5252619*0.907185)*36.744)/1000000</f>
        <v>175.08873032317118</v>
      </c>
      <c r="K25" s="37"/>
      <c r="L25" s="6">
        <f>(3317459.2*36.744)/1000000</f>
        <v>121.89672084480002</v>
      </c>
      <c r="M25" s="6"/>
      <c r="N25" s="13"/>
    </row>
    <row r="26" spans="1:17" ht="16.5" customHeight="1">
      <c r="A26" s="16" t="s">
        <v>53</v>
      </c>
      <c r="B26" s="106"/>
      <c r="C26" s="106"/>
      <c r="E26" s="38">
        <f>N22</f>
        <v>967.52499999999998</v>
      </c>
      <c r="F26" s="38"/>
      <c r="G26" s="6">
        <f>SUM(G23:G25)</f>
        <v>5.2138854144</v>
      </c>
      <c r="H26" s="13">
        <f>E26+F26+G26</f>
        <v>972.73888541439999</v>
      </c>
      <c r="I26" s="106"/>
      <c r="J26" s="13">
        <f>SUM(J23:J25)</f>
        <v>530.564700920414</v>
      </c>
      <c r="K26" s="37">
        <f>M26-L26-J26</f>
        <v>-122.92316455961407</v>
      </c>
      <c r="L26" s="6">
        <f>SUM(L23:L25)</f>
        <v>290.70334905360005</v>
      </c>
      <c r="M26" s="6">
        <f>H26-N26</f>
        <v>698.34488541439998</v>
      </c>
      <c r="N26" s="13">
        <f>274.394</f>
        <v>274.39400000000001</v>
      </c>
    </row>
    <row r="27" spans="1:17" ht="16.5" customHeight="1">
      <c r="A27" s="16" t="s">
        <v>28</v>
      </c>
      <c r="B27" s="106"/>
      <c r="C27" s="106"/>
      <c r="D27" s="106"/>
      <c r="E27" s="38"/>
      <c r="F27" s="38">
        <f>F14</f>
        <v>4465.3819999999996</v>
      </c>
      <c r="G27" s="6">
        <f>(433000.6*36.744)/1000000</f>
        <v>15.9101740464</v>
      </c>
      <c r="H27" s="13">
        <f>E14+F27+G27</f>
        <v>4738.2711740464001</v>
      </c>
      <c r="I27" s="106"/>
      <c r="J27" s="13">
        <f>SUM(J14,J18,J22,J26)</f>
        <v>2203.8901705391709</v>
      </c>
      <c r="K27" s="37">
        <f>SUM(K14,K18,K22,K26)</f>
        <v>102.34031607682891</v>
      </c>
      <c r="L27" s="6">
        <f>(58721061.6*36.744)/1000000</f>
        <v>2157.6466874304001</v>
      </c>
      <c r="M27" s="6">
        <f>SUM(M14,M18,M22,M26)</f>
        <v>4463.8771777207994</v>
      </c>
      <c r="N27" s="13"/>
    </row>
    <row r="28" spans="1:17" ht="16.5" customHeight="1">
      <c r="A28" s="16"/>
      <c r="B28" s="106"/>
      <c r="C28" s="106"/>
      <c r="D28" s="106"/>
      <c r="E28" s="38"/>
      <c r="F28" s="38"/>
      <c r="G28" s="6"/>
      <c r="H28" s="13"/>
      <c r="I28" s="106"/>
      <c r="J28" s="13"/>
      <c r="K28" s="37"/>
      <c r="L28" s="6"/>
      <c r="M28" s="6"/>
      <c r="N28" s="13"/>
    </row>
    <row r="29" spans="1:17" ht="16.5" customHeight="1">
      <c r="A29" s="36" t="s">
        <v>54</v>
      </c>
      <c r="B29" s="106"/>
      <c r="C29" s="106"/>
      <c r="D29" s="106"/>
      <c r="E29" s="38"/>
      <c r="F29" s="38"/>
      <c r="G29" s="6"/>
      <c r="H29" s="13"/>
      <c r="I29" s="106"/>
      <c r="J29" s="13"/>
      <c r="K29" s="37"/>
      <c r="L29" s="6"/>
      <c r="M29" s="6"/>
      <c r="N29" s="13"/>
    </row>
    <row r="30" spans="1:17" ht="16.5" customHeight="1">
      <c r="A30" s="16" t="s">
        <v>38</v>
      </c>
      <c r="B30" s="106"/>
      <c r="C30" s="106"/>
      <c r="D30" s="106"/>
      <c r="E30" s="38"/>
      <c r="F30" s="38"/>
      <c r="G30" s="6">
        <f>(31760.9*36.744)/1000000</f>
        <v>1.1670225096</v>
      </c>
      <c r="H30" s="13"/>
      <c r="I30" s="106"/>
      <c r="J30" s="6">
        <f>((5028287*0.907185)*36.744)/1000000</f>
        <v>167.6109359027387</v>
      </c>
      <c r="K30" s="37"/>
      <c r="L30" s="6">
        <f>(2122949.2*36.744)/1000000</f>
        <v>78.005645404800006</v>
      </c>
      <c r="M30" s="6"/>
      <c r="N30" s="13"/>
    </row>
    <row r="31" spans="1:17" ht="16.5" customHeight="1">
      <c r="A31" s="16" t="s">
        <v>39</v>
      </c>
      <c r="B31" s="106"/>
      <c r="C31" s="106"/>
      <c r="D31" s="106"/>
      <c r="E31" s="38"/>
      <c r="F31" s="38"/>
      <c r="G31" s="6">
        <f>(33846.3*36.744)/1000000</f>
        <v>1.2436484472</v>
      </c>
      <c r="H31" s="13"/>
      <c r="I31" s="106"/>
      <c r="J31" s="6">
        <f>((5899694*0.907185)*36.744)/1000000</f>
        <v>196.65807319267415</v>
      </c>
      <c r="K31" s="37"/>
      <c r="L31" s="6">
        <f>(9780846.5*36.744)/1000000</f>
        <v>359.38742379600001</v>
      </c>
      <c r="M31" s="6"/>
      <c r="N31" s="13"/>
    </row>
    <row r="32" spans="1:17" ht="16.5" customHeight="1">
      <c r="A32" s="16" t="s">
        <v>40</v>
      </c>
      <c r="B32" s="106"/>
      <c r="C32" s="106"/>
      <c r="D32" s="106"/>
      <c r="E32" s="38"/>
      <c r="F32" s="38"/>
      <c r="G32" s="6">
        <f>(34971.9*36.744)/1000000</f>
        <v>1.2850074936000002</v>
      </c>
      <c r="H32" s="13"/>
      <c r="I32" s="106"/>
      <c r="J32" s="6">
        <f>((5687098*0.907185)*36.744)/1000000</f>
        <v>189.57148196803271</v>
      </c>
      <c r="K32" s="37"/>
      <c r="L32" s="6">
        <f>(9667590.7*36.744)/1000000</f>
        <v>355.22595268079994</v>
      </c>
      <c r="M32" s="6"/>
      <c r="N32" s="13"/>
    </row>
    <row r="33" spans="1:73" ht="16.5" customHeight="1">
      <c r="A33" s="16" t="s">
        <v>41</v>
      </c>
      <c r="B33" s="106"/>
      <c r="C33" s="106"/>
      <c r="D33" s="106"/>
      <c r="E33" s="38">
        <f>N26</f>
        <v>274.39400000000001</v>
      </c>
      <c r="F33" s="118">
        <f>4276.123</f>
        <v>4276.1229999999996</v>
      </c>
      <c r="G33" s="6">
        <f>SUM(G30:G32)</f>
        <v>3.6956784504</v>
      </c>
      <c r="H33" s="13">
        <f>SUM(E33:G33)</f>
        <v>4554.2126784503998</v>
      </c>
      <c r="I33" s="106"/>
      <c r="J33" s="6">
        <f>SUM(J30:J32)</f>
        <v>553.8404910634456</v>
      </c>
      <c r="K33" s="37">
        <f>M33-L33-J33</f>
        <v>186.60116550535417</v>
      </c>
      <c r="L33" s="6">
        <f>SUM(L30:L32)</f>
        <v>792.61902188160002</v>
      </c>
      <c r="M33" s="6">
        <f>H33-N33</f>
        <v>1533.0606784503998</v>
      </c>
      <c r="N33" s="13">
        <f>3021.152</f>
        <v>3021.152</v>
      </c>
    </row>
    <row r="34" spans="1:73" ht="16.5" customHeight="1">
      <c r="A34" s="16" t="s">
        <v>42</v>
      </c>
      <c r="B34" s="106"/>
      <c r="C34" s="106"/>
      <c r="D34" s="106"/>
      <c r="E34" s="38"/>
      <c r="F34" s="118"/>
      <c r="G34" s="6">
        <f>(36103.7*36.744)/1000000</f>
        <v>1.3265943527999999</v>
      </c>
      <c r="H34" s="13"/>
      <c r="I34" s="106"/>
      <c r="J34" s="6">
        <f>((5622561*0.907185)*36.744)/1000000</f>
        <v>187.42023106084403</v>
      </c>
      <c r="K34" s="37"/>
      <c r="L34" s="6">
        <f>(8294601.8*36.744)/1000000</f>
        <v>304.77684853919999</v>
      </c>
      <c r="M34" s="6"/>
      <c r="N34" s="13"/>
    </row>
    <row r="35" spans="1:73" ht="16.5" customHeight="1">
      <c r="A35" s="16" t="s">
        <v>43</v>
      </c>
      <c r="B35" s="106"/>
      <c r="C35" s="106"/>
      <c r="D35" s="106"/>
      <c r="E35" s="38"/>
      <c r="F35" s="118"/>
      <c r="G35" s="6">
        <f>(5893.9*36.744)/1000000</f>
        <v>0.21656546159999998</v>
      </c>
      <c r="H35" s="13"/>
      <c r="I35" s="106"/>
      <c r="J35" s="6">
        <f>((5734398*0.907185)*36.744)/1000000</f>
        <v>191.14816151480471</v>
      </c>
      <c r="K35" s="37"/>
      <c r="L35" s="6">
        <f>(8559125.5*36.744)/1000000</f>
        <v>314.496507372</v>
      </c>
      <c r="M35" s="6"/>
      <c r="N35" s="13"/>
    </row>
    <row r="36" spans="1:73" ht="16.5" customHeight="1">
      <c r="A36" s="16" t="s">
        <v>44</v>
      </c>
      <c r="B36" s="106"/>
      <c r="C36" s="106"/>
      <c r="D36" s="106"/>
      <c r="E36" s="38"/>
      <c r="F36" s="118"/>
      <c r="G36" s="6">
        <f>(27761.8*36.744)/1000000</f>
        <v>1.0200795791999999</v>
      </c>
      <c r="H36" s="13"/>
      <c r="I36" s="106"/>
      <c r="J36" s="6">
        <f>((5306995*0.907185)*36.744)/1000000</f>
        <v>176.9012784634518</v>
      </c>
      <c r="K36" s="37"/>
      <c r="L36" s="6">
        <f>(5374314*36.744)/1000000</f>
        <v>197.47379361599999</v>
      </c>
      <c r="M36" s="6"/>
      <c r="N36" s="13"/>
      <c r="P36" s="40"/>
    </row>
    <row r="37" spans="1:73" ht="16.5" customHeight="1">
      <c r="A37" s="16" t="s">
        <v>45</v>
      </c>
      <c r="B37" s="106"/>
      <c r="C37" s="106"/>
      <c r="D37" s="106"/>
      <c r="E37" s="38">
        <f>N33</f>
        <v>3021.152</v>
      </c>
      <c r="F37" s="118"/>
      <c r="G37" s="6">
        <f>SUM(G34:G36)</f>
        <v>2.5632393936</v>
      </c>
      <c r="H37" s="13">
        <f>SUM(E37:G37)</f>
        <v>3023.7152393935999</v>
      </c>
      <c r="I37" s="106"/>
      <c r="J37" s="6">
        <f>SUM(J34:J36)</f>
        <v>555.4696710391006</v>
      </c>
      <c r="K37" s="37">
        <f>M37-L37-J37</f>
        <v>-33.919581172700646</v>
      </c>
      <c r="L37" s="6">
        <f>SUM(L34:L36)</f>
        <v>816.74714952720001</v>
      </c>
      <c r="M37" s="6">
        <f>H37-N37</f>
        <v>1338.2972393936</v>
      </c>
      <c r="N37" s="13">
        <f>1685.418</f>
        <v>1685.4179999999999</v>
      </c>
    </row>
    <row r="38" spans="1:73" ht="16.5" customHeight="1">
      <c r="A38" s="16" t="s">
        <v>46</v>
      </c>
      <c r="B38" s="106"/>
      <c r="C38" s="106"/>
      <c r="D38" s="106"/>
      <c r="E38" s="38"/>
      <c r="F38" s="118"/>
      <c r="G38" s="6">
        <f>(34752.6*36.744)/1000000</f>
        <v>1.2769495343999999</v>
      </c>
      <c r="H38" s="13"/>
      <c r="I38" s="106"/>
      <c r="J38" s="6">
        <f>((5939012*0.907185)*36.744)/1000000</f>
        <v>197.9686838992277</v>
      </c>
      <c r="K38" s="37"/>
      <c r="L38" s="6">
        <f>(3135729.4*36.744)/1000000</f>
        <v>115.21924107359999</v>
      </c>
      <c r="M38" s="6"/>
      <c r="N38" s="13"/>
    </row>
    <row r="39" spans="1:73" ht="16.5" customHeight="1">
      <c r="A39" s="16" t="s">
        <v>28</v>
      </c>
      <c r="B39" s="106"/>
      <c r="C39" s="106"/>
      <c r="D39" s="106"/>
      <c r="E39" s="38"/>
      <c r="F39" s="118"/>
      <c r="G39" s="6">
        <f>SUM(G33,G37,G38)</f>
        <v>7.5358673783999999</v>
      </c>
      <c r="H39" s="148"/>
      <c r="I39" s="106"/>
      <c r="J39" s="6">
        <f>SUM(J33,J37,J38)</f>
        <v>1307.2788460017739</v>
      </c>
      <c r="K39" s="37"/>
      <c r="L39" s="6">
        <f>SUM(L33,L37,L38)</f>
        <v>1724.5854124824</v>
      </c>
      <c r="M39" s="6"/>
      <c r="N39" s="13"/>
    </row>
    <row r="40" spans="1:73" ht="16.5" customHeight="1">
      <c r="A40" s="101" t="s">
        <v>55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02"/>
      <c r="M40" s="82"/>
      <c r="N40" s="82"/>
    </row>
    <row r="41" spans="1:73" ht="16.5" customHeight="1">
      <c r="A41" s="16" t="s">
        <v>181</v>
      </c>
      <c r="B41" s="16"/>
      <c r="C41" s="16"/>
      <c r="D41" s="16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73" ht="16.5" customHeight="1">
      <c r="A42" s="21" t="s">
        <v>56</v>
      </c>
      <c r="B42" s="43">
        <f>Contents!A16</f>
        <v>45062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06"/>
      <c r="P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</row>
    <row r="43" spans="1:73">
      <c r="O43" s="106"/>
      <c r="P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</row>
    <row r="44" spans="1:73">
      <c r="O44" s="106"/>
      <c r="P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</row>
    <row r="45" spans="1:73">
      <c r="O45" s="106"/>
      <c r="P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</row>
    <row r="46" spans="1:73">
      <c r="O46" s="106"/>
      <c r="P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</row>
    <row r="47" spans="1:73">
      <c r="J47" s="40"/>
      <c r="L47" s="40"/>
      <c r="O47" s="106"/>
      <c r="P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</row>
    <row r="48" spans="1:73">
      <c r="J48" s="40"/>
      <c r="L48" s="40"/>
      <c r="O48" s="106"/>
      <c r="P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</row>
    <row r="49" spans="10:73">
      <c r="J49" s="40"/>
      <c r="L49" s="40"/>
      <c r="O49" s="106"/>
      <c r="P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</row>
    <row r="50" spans="10:73">
      <c r="O50" s="106"/>
      <c r="P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</row>
    <row r="51" spans="10:73">
      <c r="O51" s="106"/>
      <c r="P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</row>
    <row r="52" spans="10:73">
      <c r="O52" s="106"/>
      <c r="P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</row>
    <row r="53" spans="10:73">
      <c r="O53" s="106"/>
      <c r="P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</row>
    <row r="54" spans="10:73">
      <c r="O54" s="106"/>
      <c r="P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</row>
    <row r="55" spans="10:73">
      <c r="O55" s="106"/>
      <c r="P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</row>
    <row r="56" spans="10:73">
      <c r="O56" s="106"/>
      <c r="P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</row>
    <row r="57" spans="10:73">
      <c r="O57" s="106"/>
      <c r="P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</row>
    <row r="58" spans="10:73">
      <c r="O58" s="106"/>
      <c r="P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</row>
    <row r="59" spans="10:73">
      <c r="O59" s="106"/>
      <c r="P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</row>
    <row r="60" spans="10:73">
      <c r="O60" s="106"/>
      <c r="P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</row>
    <row r="61" spans="10:73">
      <c r="O61" s="106"/>
      <c r="P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</row>
    <row r="62" spans="10:73">
      <c r="O62" s="106"/>
      <c r="P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</row>
    <row r="63" spans="10:73">
      <c r="O63" s="106"/>
      <c r="P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</row>
    <row r="64" spans="10:73">
      <c r="O64" s="106"/>
      <c r="P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</row>
    <row r="65" spans="15:73">
      <c r="O65" s="106"/>
      <c r="P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</row>
    <row r="66" spans="15:73">
      <c r="O66" s="106"/>
      <c r="P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</row>
    <row r="67" spans="15:73">
      <c r="O67" s="106"/>
      <c r="P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</row>
    <row r="68" spans="15:73">
      <c r="O68" s="106"/>
      <c r="P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</row>
    <row r="69" spans="15:73">
      <c r="O69" s="106"/>
      <c r="P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</row>
    <row r="70" spans="15:73"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</row>
    <row r="71" spans="15:73"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</row>
    <row r="72" spans="15:73"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</row>
    <row r="73" spans="15:73"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</row>
    <row r="74" spans="15:73"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</row>
    <row r="75" spans="15:73"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</row>
    <row r="76" spans="15:73"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</row>
    <row r="77" spans="15:73"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</row>
    <row r="78" spans="15:73"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</row>
    <row r="79" spans="15:73"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</row>
    <row r="80" spans="15:73"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</row>
    <row r="81" spans="15:73"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</row>
    <row r="82" spans="15:73"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</row>
    <row r="83" spans="15:73"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</row>
    <row r="84" spans="15:73"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</row>
    <row r="85" spans="15:73"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</row>
    <row r="86" spans="15:73"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</row>
    <row r="87" spans="15:73"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</row>
    <row r="88" spans="15:73"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</row>
    <row r="89" spans="15:73"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</row>
    <row r="90" spans="15:73"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</row>
    <row r="91" spans="15:73"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</row>
    <row r="92" spans="15:73"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</row>
    <row r="93" spans="15:73"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</row>
    <row r="94" spans="15:73"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</row>
    <row r="95" spans="15:73"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</row>
    <row r="96" spans="15:73"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</row>
    <row r="97" spans="15:73"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</row>
    <row r="98" spans="15:73"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</row>
    <row r="99" spans="15:73"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</row>
    <row r="100" spans="15:73"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</row>
    <row r="101" spans="15:73"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</row>
    <row r="102" spans="15:73"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</row>
    <row r="103" spans="15:73"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</row>
    <row r="104" spans="15:73"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</row>
    <row r="105" spans="15:73"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</row>
    <row r="106" spans="15:73"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</row>
    <row r="107" spans="15:73"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</row>
    <row r="108" spans="15:73"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</row>
    <row r="109" spans="15:73"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</row>
    <row r="110" spans="15:73"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</row>
    <row r="111" spans="15:73"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</row>
    <row r="112" spans="15:73"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</row>
    <row r="113" spans="15:73"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</row>
    <row r="114" spans="15:73"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</row>
    <row r="115" spans="15:73"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</row>
    <row r="116" spans="15:73"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</row>
    <row r="117" spans="15:73"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</row>
    <row r="118" spans="15:73"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</row>
    <row r="119" spans="15:73"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</row>
    <row r="120" spans="15:73"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</row>
    <row r="121" spans="15:73"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</row>
    <row r="122" spans="15:73"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</row>
    <row r="123" spans="15:73"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</row>
    <row r="124" spans="15:73"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</row>
    <row r="125" spans="15:73"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</row>
    <row r="126" spans="15:73"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</row>
    <row r="127" spans="15:73"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</row>
    <row r="128" spans="15:73"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</row>
    <row r="129" spans="15:73"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</row>
    <row r="130" spans="15:73"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</row>
    <row r="131" spans="15:73"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</row>
    <row r="132" spans="15:73"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</row>
    <row r="133" spans="15:73"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</row>
    <row r="134" spans="15:73"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</row>
    <row r="135" spans="15:73"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</row>
    <row r="136" spans="15:73"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</row>
    <row r="137" spans="15:73"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</row>
    <row r="138" spans="15:73"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</row>
    <row r="139" spans="15:73"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</row>
    <row r="140" spans="15:73"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</row>
    <row r="141" spans="15:73"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</row>
    <row r="142" spans="15:73"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</row>
    <row r="143" spans="15:73"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</row>
    <row r="144" spans="15:73"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</row>
    <row r="145" spans="15:73"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</row>
    <row r="146" spans="15:73"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</row>
    <row r="147" spans="15:73"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</row>
    <row r="148" spans="15:73"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</row>
    <row r="149" spans="15:73"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</row>
    <row r="150" spans="15:73"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</row>
    <row r="151" spans="15:73"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</row>
    <row r="152" spans="15:73"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</row>
    <row r="153" spans="15:73"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</row>
    <row r="154" spans="15:73"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</row>
    <row r="155" spans="15:73"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</row>
    <row r="156" spans="15:73"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  <c r="BJ156" s="106"/>
      <c r="BK156" s="106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</row>
    <row r="157" spans="15:73"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</row>
    <row r="158" spans="15:73"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</row>
    <row r="159" spans="15:73"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  <c r="BJ159" s="106"/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</row>
    <row r="160" spans="15:73"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</row>
    <row r="161" spans="15:73"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</row>
    <row r="162" spans="15:73"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</row>
    <row r="163" spans="15:73"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</row>
    <row r="164" spans="15:73"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</row>
    <row r="165" spans="15:73"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</row>
    <row r="166" spans="15:73"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</row>
    <row r="167" spans="15:73"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</row>
    <row r="168" spans="15:73"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</row>
    <row r="169" spans="15:73"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</row>
    <row r="170" spans="15:73"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</row>
    <row r="171" spans="15:73"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</row>
    <row r="172" spans="15:73"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</row>
    <row r="173" spans="15:73"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</row>
    <row r="174" spans="15:73"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</row>
    <row r="175" spans="15:73"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</row>
    <row r="176" spans="15:73"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</row>
    <row r="177" spans="15:73"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</row>
    <row r="178" spans="15:73"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  <c r="BJ178" s="106"/>
      <c r="BK178" s="106"/>
      <c r="BL178" s="106"/>
      <c r="BM178" s="106"/>
      <c r="BN178" s="106"/>
      <c r="BO178" s="106"/>
      <c r="BP178" s="106"/>
      <c r="BQ178" s="106"/>
      <c r="BR178" s="106"/>
      <c r="BS178" s="106"/>
      <c r="BT178" s="106"/>
      <c r="BU178" s="106"/>
    </row>
    <row r="179" spans="15:73"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</row>
    <row r="180" spans="15:73"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</row>
    <row r="181" spans="15:73"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</row>
    <row r="182" spans="15:73"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  <c r="BK182" s="106"/>
      <c r="BL182" s="106"/>
      <c r="BM182" s="106"/>
      <c r="BN182" s="106"/>
      <c r="BO182" s="106"/>
      <c r="BP182" s="106"/>
      <c r="BQ182" s="106"/>
      <c r="BR182" s="106"/>
      <c r="BS182" s="106"/>
      <c r="BT182" s="106"/>
      <c r="BU182" s="106"/>
    </row>
    <row r="183" spans="15:73"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</row>
    <row r="184" spans="15:73"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</row>
    <row r="185" spans="15:73"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  <c r="BE185" s="106"/>
      <c r="BF185" s="106"/>
      <c r="BG185" s="106"/>
      <c r="BH185" s="106"/>
      <c r="BI185" s="106"/>
      <c r="BJ185" s="106"/>
      <c r="BK185" s="106"/>
      <c r="BL185" s="106"/>
      <c r="BM185" s="106"/>
      <c r="BN185" s="106"/>
      <c r="BO185" s="106"/>
      <c r="BP185" s="106"/>
      <c r="BQ185" s="106"/>
      <c r="BR185" s="106"/>
      <c r="BS185" s="106"/>
      <c r="BT185" s="106"/>
      <c r="BU185" s="106"/>
    </row>
    <row r="186" spans="15:73"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</row>
    <row r="187" spans="15:73"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</row>
    <row r="188" spans="15:73"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  <c r="AZ188" s="106"/>
      <c r="BA188" s="106"/>
      <c r="BB188" s="106"/>
      <c r="BC188" s="106"/>
      <c r="BD188" s="106"/>
      <c r="BE188" s="106"/>
      <c r="BF188" s="106"/>
      <c r="BG188" s="106"/>
      <c r="BH188" s="106"/>
      <c r="BI188" s="106"/>
      <c r="BJ188" s="106"/>
      <c r="BK188" s="106"/>
      <c r="BL188" s="106"/>
      <c r="BM188" s="106"/>
      <c r="BN188" s="106"/>
      <c r="BO188" s="106"/>
      <c r="BP188" s="106"/>
      <c r="BQ188" s="106"/>
      <c r="BR188" s="106"/>
      <c r="BS188" s="106"/>
      <c r="BT188" s="106"/>
      <c r="BU188" s="106"/>
    </row>
    <row r="189" spans="15:73"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</row>
    <row r="190" spans="15:73"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</row>
    <row r="191" spans="15:73"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  <c r="BH191" s="106"/>
      <c r="BI191" s="106"/>
      <c r="BJ191" s="106"/>
      <c r="BK191" s="106"/>
      <c r="BL191" s="106"/>
      <c r="BM191" s="106"/>
      <c r="BN191" s="106"/>
      <c r="BO191" s="106"/>
      <c r="BP191" s="106"/>
      <c r="BQ191" s="106"/>
      <c r="BR191" s="106"/>
      <c r="BS191" s="106"/>
      <c r="BT191" s="106"/>
      <c r="BU191" s="106"/>
    </row>
    <row r="192" spans="15:73"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  <c r="BJ192" s="106"/>
      <c r="BK192" s="106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</row>
    <row r="193" spans="15:73"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</row>
    <row r="194" spans="15:73"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</row>
    <row r="195" spans="15:73"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</row>
    <row r="196" spans="15:73"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</row>
    <row r="197" spans="15:73"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</row>
    <row r="198" spans="15:73"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</row>
    <row r="199" spans="15:73"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</row>
    <row r="200" spans="15:73"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</row>
    <row r="201" spans="15:73"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</row>
    <row r="202" spans="15:73"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</row>
    <row r="203" spans="15:73"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</row>
    <row r="204" spans="15:73"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</row>
    <row r="205" spans="15:73"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</row>
    <row r="206" spans="15:73"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</row>
    <row r="207" spans="15:73"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</row>
    <row r="208" spans="15:73"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  <c r="BJ208" s="106"/>
      <c r="BK208" s="106"/>
      <c r="BL208" s="106"/>
      <c r="BM208" s="106"/>
      <c r="BN208" s="106"/>
      <c r="BO208" s="106"/>
      <c r="BP208" s="106"/>
      <c r="BQ208" s="106"/>
      <c r="BR208" s="106"/>
      <c r="BS208" s="106"/>
      <c r="BT208" s="106"/>
      <c r="BU208" s="106"/>
    </row>
    <row r="209" spans="15:73"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  <c r="AZ209" s="106"/>
      <c r="BA209" s="106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</row>
    <row r="210" spans="15:73"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</row>
    <row r="211" spans="15:73"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</row>
    <row r="212" spans="15:73"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</row>
    <row r="213" spans="15:73"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</row>
    <row r="214" spans="15:73"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</row>
    <row r="215" spans="15:73"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  <c r="AY215" s="106"/>
      <c r="AZ215" s="106"/>
      <c r="BA215" s="106"/>
      <c r="BB215" s="106"/>
      <c r="BC215" s="106"/>
      <c r="BD215" s="106"/>
      <c r="BE215" s="106"/>
      <c r="BF215" s="106"/>
      <c r="BG215" s="106"/>
      <c r="BH215" s="106"/>
      <c r="BI215" s="106"/>
      <c r="BJ215" s="106"/>
      <c r="BK215" s="106"/>
      <c r="BL215" s="106"/>
      <c r="BM215" s="106"/>
      <c r="BN215" s="106"/>
      <c r="BO215" s="106"/>
      <c r="BP215" s="106"/>
      <c r="BQ215" s="106"/>
      <c r="BR215" s="106"/>
      <c r="BS215" s="106"/>
      <c r="BT215" s="106"/>
      <c r="BU215" s="106"/>
    </row>
    <row r="216" spans="15:73"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</row>
    <row r="217" spans="15:73"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  <c r="AZ217" s="106"/>
      <c r="BA217" s="106"/>
      <c r="BB217" s="106"/>
      <c r="BC217" s="106"/>
      <c r="BD217" s="106"/>
      <c r="BE217" s="106"/>
      <c r="BF217" s="106"/>
      <c r="BG217" s="106"/>
      <c r="BH217" s="106"/>
      <c r="BI217" s="106"/>
      <c r="BJ217" s="106"/>
      <c r="BK217" s="106"/>
      <c r="BL217" s="106"/>
      <c r="BM217" s="106"/>
      <c r="BN217" s="106"/>
      <c r="BO217" s="106"/>
      <c r="BP217" s="106"/>
      <c r="BQ217" s="106"/>
      <c r="BR217" s="106"/>
      <c r="BS217" s="106"/>
      <c r="BT217" s="106"/>
      <c r="BU217" s="106"/>
    </row>
    <row r="218" spans="15:73"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  <c r="AY218" s="106"/>
      <c r="AZ218" s="106"/>
      <c r="BA218" s="106"/>
      <c r="BB218" s="106"/>
      <c r="BC218" s="106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6"/>
      <c r="BS218" s="106"/>
      <c r="BT218" s="106"/>
      <c r="BU218" s="106"/>
    </row>
    <row r="219" spans="15:73"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6"/>
      <c r="BQ219" s="106"/>
      <c r="BR219" s="106"/>
      <c r="BS219" s="106"/>
      <c r="BT219" s="106"/>
      <c r="BU219" s="106"/>
    </row>
    <row r="220" spans="15:73"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6"/>
      <c r="BC220" s="106"/>
      <c r="BD220" s="106"/>
      <c r="BE220" s="106"/>
      <c r="BF220" s="106"/>
      <c r="BG220" s="106"/>
      <c r="BH220" s="106"/>
      <c r="BI220" s="106"/>
      <c r="BJ220" s="106"/>
      <c r="BK220" s="106"/>
      <c r="BL220" s="106"/>
      <c r="BM220" s="106"/>
      <c r="BN220" s="106"/>
      <c r="BO220" s="106"/>
      <c r="BP220" s="106"/>
      <c r="BQ220" s="106"/>
      <c r="BR220" s="106"/>
      <c r="BS220" s="106"/>
      <c r="BT220" s="106"/>
      <c r="BU220" s="106"/>
    </row>
    <row r="221" spans="15:73"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6"/>
      <c r="BR221" s="106"/>
      <c r="BS221" s="106"/>
      <c r="BT221" s="106"/>
      <c r="BU221" s="106"/>
    </row>
    <row r="222" spans="15:73"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</row>
    <row r="223" spans="15:73"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</row>
    <row r="224" spans="15:73"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  <c r="AY224" s="106"/>
      <c r="AZ224" s="106"/>
      <c r="BA224" s="106"/>
      <c r="BB224" s="106"/>
      <c r="BC224" s="106"/>
      <c r="BD224" s="106"/>
      <c r="BE224" s="106"/>
      <c r="BF224" s="106"/>
      <c r="BG224" s="106"/>
      <c r="BH224" s="106"/>
      <c r="BI224" s="106"/>
      <c r="BJ224" s="106"/>
      <c r="BK224" s="106"/>
      <c r="BL224" s="106"/>
      <c r="BM224" s="106"/>
      <c r="BN224" s="106"/>
      <c r="BO224" s="106"/>
      <c r="BP224" s="106"/>
      <c r="BQ224" s="106"/>
      <c r="BR224" s="106"/>
      <c r="BS224" s="106"/>
      <c r="BT224" s="106"/>
      <c r="BU224" s="106"/>
    </row>
    <row r="225" spans="15:73"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  <c r="AY225" s="106"/>
      <c r="AZ225" s="106"/>
      <c r="BA225" s="106"/>
      <c r="BB225" s="106"/>
      <c r="BC225" s="106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6"/>
      <c r="BR225" s="106"/>
      <c r="BS225" s="106"/>
      <c r="BT225" s="106"/>
      <c r="BU225" s="106"/>
    </row>
    <row r="226" spans="15:73"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106"/>
      <c r="BD226" s="106"/>
      <c r="BE226" s="106"/>
      <c r="BF226" s="106"/>
      <c r="BG226" s="106"/>
      <c r="BH226" s="106"/>
      <c r="BI226" s="106"/>
      <c r="BJ226" s="106"/>
      <c r="BK226" s="106"/>
      <c r="BL226" s="106"/>
      <c r="BM226" s="106"/>
      <c r="BN226" s="106"/>
      <c r="BO226" s="106"/>
      <c r="BP226" s="106"/>
      <c r="BQ226" s="106"/>
      <c r="BR226" s="106"/>
      <c r="BS226" s="106"/>
      <c r="BT226" s="106"/>
      <c r="BU226" s="106"/>
    </row>
    <row r="227" spans="15:73"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  <c r="AY227" s="106"/>
      <c r="AZ227" s="106"/>
      <c r="BA227" s="106"/>
      <c r="BB227" s="106"/>
      <c r="BC227" s="106"/>
      <c r="BD227" s="106"/>
      <c r="BE227" s="106"/>
      <c r="BF227" s="106"/>
      <c r="BG227" s="106"/>
      <c r="BH227" s="106"/>
      <c r="BI227" s="106"/>
      <c r="BJ227" s="106"/>
      <c r="BK227" s="106"/>
      <c r="BL227" s="106"/>
      <c r="BM227" s="106"/>
      <c r="BN227" s="106"/>
      <c r="BO227" s="106"/>
      <c r="BP227" s="106"/>
      <c r="BQ227" s="106"/>
      <c r="BR227" s="106"/>
      <c r="BS227" s="106"/>
      <c r="BT227" s="106"/>
      <c r="BU227" s="106"/>
    </row>
    <row r="228" spans="15:73"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6"/>
      <c r="BR228" s="106"/>
      <c r="BS228" s="106"/>
      <c r="BT228" s="106"/>
      <c r="BU228" s="106"/>
    </row>
    <row r="229" spans="15:73"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</row>
    <row r="230" spans="15:73"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  <c r="AY230" s="106"/>
      <c r="AZ230" s="106"/>
      <c r="BA230" s="106"/>
      <c r="BB230" s="106"/>
      <c r="BC230" s="106"/>
      <c r="BD230" s="106"/>
      <c r="BE230" s="106"/>
      <c r="BF230" s="106"/>
      <c r="BG230" s="106"/>
      <c r="BH230" s="106"/>
      <c r="BI230" s="106"/>
      <c r="BJ230" s="106"/>
      <c r="BK230" s="106"/>
      <c r="BL230" s="106"/>
      <c r="BM230" s="106"/>
      <c r="BN230" s="106"/>
      <c r="BO230" s="106"/>
      <c r="BP230" s="106"/>
      <c r="BQ230" s="106"/>
      <c r="BR230" s="106"/>
      <c r="BS230" s="106"/>
      <c r="BT230" s="106"/>
      <c r="BU230" s="106"/>
    </row>
    <row r="231" spans="15:73"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  <c r="BE231" s="106"/>
      <c r="BF231" s="106"/>
      <c r="BG231" s="106"/>
      <c r="BH231" s="106"/>
      <c r="BI231" s="106"/>
      <c r="BJ231" s="106"/>
      <c r="BK231" s="106"/>
      <c r="BL231" s="106"/>
      <c r="BM231" s="106"/>
      <c r="BN231" s="106"/>
      <c r="BO231" s="106"/>
      <c r="BP231" s="106"/>
      <c r="BQ231" s="106"/>
      <c r="BR231" s="106"/>
      <c r="BS231" s="106"/>
      <c r="BT231" s="106"/>
      <c r="BU231" s="106"/>
    </row>
    <row r="232" spans="15:73"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  <c r="AY232" s="106"/>
      <c r="AZ232" s="106"/>
      <c r="BA232" s="106"/>
      <c r="BB232" s="106"/>
      <c r="BC232" s="106"/>
      <c r="BD232" s="106"/>
      <c r="BE232" s="106"/>
      <c r="BF232" s="106"/>
      <c r="BG232" s="106"/>
      <c r="BH232" s="106"/>
      <c r="BI232" s="106"/>
      <c r="BJ232" s="106"/>
      <c r="BK232" s="106"/>
      <c r="BL232" s="106"/>
      <c r="BM232" s="106"/>
      <c r="BN232" s="106"/>
      <c r="BO232" s="106"/>
      <c r="BP232" s="106"/>
      <c r="BQ232" s="106"/>
      <c r="BR232" s="106"/>
      <c r="BS232" s="106"/>
      <c r="BT232" s="106"/>
      <c r="BU232" s="106"/>
    </row>
    <row r="233" spans="15:73"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/>
      <c r="BI233" s="106"/>
      <c r="BJ233" s="106"/>
      <c r="BK233" s="106"/>
      <c r="BL233" s="106"/>
      <c r="BM233" s="106"/>
      <c r="BN233" s="106"/>
      <c r="BO233" s="106"/>
      <c r="BP233" s="106"/>
      <c r="BQ233" s="106"/>
      <c r="BR233" s="106"/>
      <c r="BS233" s="106"/>
      <c r="BT233" s="106"/>
      <c r="BU233" s="106"/>
    </row>
    <row r="234" spans="15:73"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  <c r="AZ234" s="106"/>
      <c r="BA234" s="106"/>
      <c r="BB234" s="106"/>
      <c r="BC234" s="106"/>
      <c r="BD234" s="106"/>
      <c r="BE234" s="106"/>
      <c r="BF234" s="106"/>
      <c r="BG234" s="106"/>
      <c r="BH234" s="106"/>
      <c r="BI234" s="106"/>
      <c r="BJ234" s="106"/>
      <c r="BK234" s="106"/>
      <c r="BL234" s="106"/>
      <c r="BM234" s="106"/>
      <c r="BN234" s="106"/>
      <c r="BO234" s="106"/>
      <c r="BP234" s="106"/>
      <c r="BQ234" s="106"/>
      <c r="BR234" s="106"/>
      <c r="BS234" s="106"/>
      <c r="BT234" s="106"/>
      <c r="BU234" s="106"/>
    </row>
    <row r="235" spans="15:73"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  <c r="AY235" s="106"/>
      <c r="AZ235" s="106"/>
      <c r="BA235" s="106"/>
      <c r="BB235" s="106"/>
      <c r="BC235" s="106"/>
      <c r="BD235" s="106"/>
      <c r="BE235" s="106"/>
      <c r="BF235" s="106"/>
      <c r="BG235" s="106"/>
      <c r="BH235" s="106"/>
      <c r="BI235" s="106"/>
      <c r="BJ235" s="106"/>
      <c r="BK235" s="106"/>
      <c r="BL235" s="106"/>
      <c r="BM235" s="106"/>
      <c r="BN235" s="106"/>
      <c r="BO235" s="106"/>
      <c r="BP235" s="106"/>
      <c r="BQ235" s="106"/>
      <c r="BR235" s="106"/>
      <c r="BS235" s="106"/>
      <c r="BT235" s="106"/>
      <c r="BU235" s="106"/>
    </row>
    <row r="236" spans="15:73"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</row>
    <row r="237" spans="15:73"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  <c r="AY237" s="106"/>
      <c r="AZ237" s="106"/>
      <c r="BA237" s="106"/>
      <c r="BB237" s="106"/>
      <c r="BC237" s="106"/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06"/>
      <c r="BU237" s="106"/>
    </row>
    <row r="238" spans="15:73"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06"/>
      <c r="BU238" s="106"/>
    </row>
    <row r="239" spans="15:73"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  <c r="AY239" s="106"/>
      <c r="AZ239" s="106"/>
      <c r="BA239" s="106"/>
      <c r="BB239" s="106"/>
      <c r="BC239" s="106"/>
      <c r="BD239" s="106"/>
      <c r="BE239" s="106"/>
      <c r="BF239" s="106"/>
      <c r="BG239" s="106"/>
      <c r="BH239" s="106"/>
      <c r="BI239" s="106"/>
      <c r="BJ239" s="106"/>
      <c r="BK239" s="106"/>
      <c r="BL239" s="106"/>
      <c r="BM239" s="106"/>
      <c r="BN239" s="106"/>
      <c r="BO239" s="106"/>
      <c r="BP239" s="106"/>
      <c r="BQ239" s="106"/>
      <c r="BR239" s="106"/>
      <c r="BS239" s="106"/>
      <c r="BT239" s="106"/>
      <c r="BU239" s="106"/>
    </row>
    <row r="240" spans="15:73"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  <c r="AZ240" s="106"/>
      <c r="BA240" s="106"/>
      <c r="BB240" s="106"/>
      <c r="BC240" s="106"/>
      <c r="BD240" s="106"/>
      <c r="BE240" s="106"/>
      <c r="BF240" s="106"/>
      <c r="BG240" s="106"/>
      <c r="BH240" s="106"/>
      <c r="BI240" s="106"/>
      <c r="BJ240" s="106"/>
      <c r="BK240" s="106"/>
      <c r="BL240" s="106"/>
      <c r="BM240" s="106"/>
      <c r="BN240" s="106"/>
      <c r="BO240" s="106"/>
      <c r="BP240" s="106"/>
      <c r="BQ240" s="106"/>
      <c r="BR240" s="106"/>
      <c r="BS240" s="106"/>
      <c r="BT240" s="106"/>
      <c r="BU240" s="106"/>
    </row>
    <row r="241" spans="15:73"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/>
      <c r="BA241" s="106"/>
      <c r="BB241" s="106"/>
      <c r="BC241" s="106"/>
      <c r="BD241" s="106"/>
      <c r="BE241" s="106"/>
      <c r="BF241" s="106"/>
      <c r="BG241" s="106"/>
      <c r="BH241" s="106"/>
      <c r="BI241" s="106"/>
      <c r="BJ241" s="106"/>
      <c r="BK241" s="106"/>
      <c r="BL241" s="106"/>
      <c r="BM241" s="106"/>
      <c r="BN241" s="106"/>
      <c r="BO241" s="106"/>
      <c r="BP241" s="106"/>
      <c r="BQ241" s="106"/>
      <c r="BR241" s="106"/>
      <c r="BS241" s="106"/>
      <c r="BT241" s="106"/>
      <c r="BU241" s="106"/>
    </row>
    <row r="242" spans="15:73"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  <c r="AY242" s="106"/>
      <c r="AZ242" s="106"/>
      <c r="BA242" s="106"/>
      <c r="BB242" s="106"/>
      <c r="BC242" s="106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6"/>
      <c r="BS242" s="106"/>
      <c r="BT242" s="106"/>
      <c r="BU242" s="106"/>
    </row>
    <row r="243" spans="15:73"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6"/>
      <c r="BQ243" s="106"/>
      <c r="BR243" s="106"/>
      <c r="BS243" s="106"/>
      <c r="BT243" s="106"/>
      <c r="BU243" s="106"/>
    </row>
    <row r="244" spans="15:73"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</row>
    <row r="245" spans="15:73"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  <c r="AY245" s="106"/>
      <c r="AZ245" s="106"/>
      <c r="BA245" s="106"/>
      <c r="BB245" s="106"/>
      <c r="BC245" s="106"/>
      <c r="BD245" s="106"/>
      <c r="BE245" s="106"/>
      <c r="BF245" s="106"/>
      <c r="BG245" s="106"/>
      <c r="BH245" s="106"/>
      <c r="BI245" s="106"/>
      <c r="BJ245" s="106"/>
      <c r="BK245" s="106"/>
      <c r="BL245" s="106"/>
      <c r="BM245" s="106"/>
      <c r="BN245" s="106"/>
      <c r="BO245" s="106"/>
      <c r="BP245" s="106"/>
      <c r="BQ245" s="106"/>
      <c r="BR245" s="106"/>
      <c r="BS245" s="106"/>
      <c r="BT245" s="106"/>
      <c r="BU245" s="106"/>
    </row>
    <row r="246" spans="15:73"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  <c r="AY246" s="106"/>
      <c r="AZ246" s="106"/>
      <c r="BA246" s="106"/>
      <c r="BB246" s="106"/>
      <c r="BC246" s="106"/>
      <c r="BD246" s="106"/>
      <c r="BE246" s="106"/>
      <c r="BF246" s="106"/>
      <c r="BG246" s="106"/>
      <c r="BH246" s="106"/>
      <c r="BI246" s="106"/>
      <c r="BJ246" s="106"/>
      <c r="BK246" s="106"/>
      <c r="BL246" s="106"/>
      <c r="BM246" s="106"/>
      <c r="BN246" s="106"/>
      <c r="BO246" s="106"/>
      <c r="BP246" s="106"/>
      <c r="BQ246" s="106"/>
      <c r="BR246" s="106"/>
      <c r="BS246" s="106"/>
      <c r="BT246" s="106"/>
      <c r="BU246" s="106"/>
    </row>
    <row r="247" spans="15:73"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  <c r="AY247" s="106"/>
      <c r="AZ247" s="106"/>
      <c r="BA247" s="106"/>
      <c r="BB247" s="106"/>
      <c r="BC247" s="106"/>
      <c r="BD247" s="106"/>
      <c r="BE247" s="106"/>
      <c r="BF247" s="106"/>
      <c r="BG247" s="106"/>
      <c r="BH247" s="106"/>
      <c r="BI247" s="106"/>
      <c r="BJ247" s="106"/>
      <c r="BK247" s="106"/>
      <c r="BL247" s="106"/>
      <c r="BM247" s="106"/>
      <c r="BN247" s="106"/>
      <c r="BO247" s="106"/>
      <c r="BP247" s="106"/>
      <c r="BQ247" s="106"/>
      <c r="BR247" s="106"/>
      <c r="BS247" s="106"/>
      <c r="BT247" s="106"/>
      <c r="BU247" s="106"/>
    </row>
    <row r="248" spans="15:73"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  <c r="AZ248" s="106"/>
      <c r="BA248" s="106"/>
      <c r="BB248" s="106"/>
      <c r="BC248" s="106"/>
      <c r="BD248" s="106"/>
      <c r="BE248" s="106"/>
      <c r="BF248" s="106"/>
      <c r="BG248" s="106"/>
      <c r="BH248" s="106"/>
      <c r="BI248" s="106"/>
      <c r="BJ248" s="106"/>
      <c r="BK248" s="106"/>
      <c r="BL248" s="106"/>
      <c r="BM248" s="106"/>
      <c r="BN248" s="106"/>
      <c r="BO248" s="106"/>
      <c r="BP248" s="106"/>
      <c r="BQ248" s="106"/>
      <c r="BR248" s="106"/>
      <c r="BS248" s="106"/>
      <c r="BT248" s="106"/>
      <c r="BU248" s="106"/>
    </row>
    <row r="249" spans="15:73"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  <c r="AZ249" s="106"/>
      <c r="BA249" s="106"/>
      <c r="BB249" s="106"/>
      <c r="BC249" s="106"/>
      <c r="BD249" s="106"/>
      <c r="BE249" s="106"/>
      <c r="BF249" s="106"/>
      <c r="BG249" s="106"/>
      <c r="BH249" s="106"/>
      <c r="BI249" s="106"/>
      <c r="BJ249" s="106"/>
      <c r="BK249" s="106"/>
      <c r="BL249" s="106"/>
      <c r="BM249" s="106"/>
      <c r="BN249" s="106"/>
      <c r="BO249" s="106"/>
      <c r="BP249" s="106"/>
      <c r="BQ249" s="106"/>
      <c r="BR249" s="106"/>
      <c r="BS249" s="106"/>
      <c r="BT249" s="106"/>
      <c r="BU249" s="106"/>
    </row>
    <row r="250" spans="15:73"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  <c r="AY250" s="106"/>
      <c r="AZ250" s="106"/>
      <c r="BA250" s="106"/>
      <c r="BB250" s="106"/>
      <c r="BC250" s="106"/>
      <c r="BD250" s="106"/>
      <c r="BE250" s="106"/>
      <c r="BF250" s="106"/>
      <c r="BG250" s="106"/>
      <c r="BH250" s="106"/>
      <c r="BI250" s="106"/>
      <c r="BJ250" s="106"/>
      <c r="BK250" s="106"/>
      <c r="BL250" s="106"/>
      <c r="BM250" s="106"/>
      <c r="BN250" s="106"/>
      <c r="BO250" s="106"/>
      <c r="BP250" s="106"/>
      <c r="BQ250" s="106"/>
      <c r="BR250" s="106"/>
      <c r="BS250" s="106"/>
      <c r="BT250" s="106"/>
      <c r="BU250" s="106"/>
    </row>
    <row r="251" spans="15:73"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  <c r="AY251" s="106"/>
      <c r="AZ251" s="106"/>
      <c r="BA251" s="106"/>
      <c r="BB251" s="106"/>
      <c r="BC251" s="106"/>
      <c r="BD251" s="106"/>
      <c r="BE251" s="106"/>
      <c r="BF251" s="106"/>
      <c r="BG251" s="106"/>
      <c r="BH251" s="106"/>
      <c r="BI251" s="106"/>
      <c r="BJ251" s="106"/>
      <c r="BK251" s="106"/>
      <c r="BL251" s="106"/>
      <c r="BM251" s="106"/>
      <c r="BN251" s="106"/>
      <c r="BO251" s="106"/>
      <c r="BP251" s="106"/>
      <c r="BQ251" s="106"/>
      <c r="BR251" s="106"/>
      <c r="BS251" s="106"/>
      <c r="BT251" s="106"/>
      <c r="BU251" s="106"/>
    </row>
    <row r="252" spans="15:73"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</row>
    <row r="253" spans="15:73"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</row>
    <row r="254" spans="15:73"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  <c r="AZ254" s="106"/>
      <c r="BA254" s="106"/>
      <c r="BB254" s="106"/>
      <c r="BC254" s="106"/>
      <c r="BD254" s="106"/>
      <c r="BE254" s="106"/>
      <c r="BF254" s="106"/>
      <c r="BG254" s="106"/>
      <c r="BH254" s="106"/>
      <c r="BI254" s="106"/>
      <c r="BJ254" s="106"/>
      <c r="BK254" s="106"/>
      <c r="BL254" s="106"/>
      <c r="BM254" s="106"/>
      <c r="BN254" s="106"/>
      <c r="BO254" s="106"/>
      <c r="BP254" s="106"/>
      <c r="BQ254" s="106"/>
      <c r="BR254" s="106"/>
      <c r="BS254" s="106"/>
      <c r="BT254" s="106"/>
      <c r="BU254" s="106"/>
    </row>
    <row r="255" spans="15:73"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6"/>
      <c r="BQ255" s="106"/>
      <c r="BR255" s="106"/>
      <c r="BS255" s="106"/>
      <c r="BT255" s="106"/>
      <c r="BU255" s="106"/>
    </row>
    <row r="256" spans="15:73"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  <c r="AY256" s="106"/>
      <c r="AZ256" s="106"/>
      <c r="BA256" s="106"/>
      <c r="BB256" s="106"/>
      <c r="BC256" s="106"/>
      <c r="BD256" s="106"/>
      <c r="BE256" s="106"/>
      <c r="BF256" s="106"/>
      <c r="BG256" s="106"/>
      <c r="BH256" s="106"/>
      <c r="BI256" s="106"/>
      <c r="BJ256" s="106"/>
      <c r="BK256" s="106"/>
      <c r="BL256" s="106"/>
      <c r="BM256" s="106"/>
      <c r="BN256" s="106"/>
      <c r="BO256" s="106"/>
      <c r="BP256" s="106"/>
      <c r="BQ256" s="106"/>
      <c r="BR256" s="106"/>
      <c r="BS256" s="106"/>
      <c r="BT256" s="106"/>
      <c r="BU256" s="106"/>
    </row>
    <row r="257" spans="15:73"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  <c r="AZ257" s="106"/>
      <c r="BA257" s="106"/>
      <c r="BB257" s="106"/>
      <c r="BC257" s="106"/>
      <c r="BD257" s="106"/>
      <c r="BE257" s="106"/>
      <c r="BF257" s="106"/>
      <c r="BG257" s="106"/>
      <c r="BH257" s="106"/>
      <c r="BI257" s="106"/>
      <c r="BJ257" s="106"/>
      <c r="BK257" s="106"/>
      <c r="BL257" s="106"/>
      <c r="BM257" s="106"/>
      <c r="BN257" s="106"/>
      <c r="BO257" s="106"/>
      <c r="BP257" s="106"/>
      <c r="BQ257" s="106"/>
      <c r="BR257" s="106"/>
      <c r="BS257" s="106"/>
      <c r="BT257" s="106"/>
      <c r="BU257" s="106"/>
    </row>
    <row r="258" spans="15:73"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  <c r="AZ258" s="106"/>
      <c r="BA258" s="106"/>
      <c r="BB258" s="106"/>
      <c r="BC258" s="106"/>
      <c r="BD258" s="106"/>
      <c r="BE258" s="106"/>
      <c r="BF258" s="106"/>
      <c r="BG258" s="106"/>
      <c r="BH258" s="106"/>
      <c r="BI258" s="106"/>
      <c r="BJ258" s="106"/>
      <c r="BK258" s="106"/>
      <c r="BL258" s="106"/>
      <c r="BM258" s="106"/>
      <c r="BN258" s="106"/>
      <c r="BO258" s="106"/>
      <c r="BP258" s="106"/>
      <c r="BQ258" s="106"/>
      <c r="BR258" s="106"/>
      <c r="BS258" s="106"/>
      <c r="BT258" s="106"/>
      <c r="BU258" s="106"/>
    </row>
    <row r="259" spans="15:73"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</row>
    <row r="260" spans="15:73"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</row>
    <row r="261" spans="15:73"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  <c r="AY261" s="106"/>
      <c r="AZ261" s="106"/>
      <c r="BA261" s="106"/>
      <c r="BB261" s="106"/>
      <c r="BC261" s="106"/>
      <c r="BD261" s="106"/>
      <c r="BE261" s="106"/>
      <c r="BF261" s="106"/>
      <c r="BG261" s="106"/>
      <c r="BH261" s="106"/>
      <c r="BI261" s="106"/>
      <c r="BJ261" s="106"/>
      <c r="BK261" s="106"/>
      <c r="BL261" s="106"/>
      <c r="BM261" s="106"/>
      <c r="BN261" s="106"/>
      <c r="BO261" s="106"/>
      <c r="BP261" s="106"/>
      <c r="BQ261" s="106"/>
      <c r="BR261" s="106"/>
      <c r="BS261" s="106"/>
      <c r="BT261" s="106"/>
      <c r="BU261" s="106"/>
    </row>
    <row r="262" spans="15:73"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  <c r="AY262" s="106"/>
      <c r="AZ262" s="106"/>
      <c r="BA262" s="106"/>
      <c r="BB262" s="106"/>
      <c r="BC262" s="106"/>
      <c r="BD262" s="106"/>
      <c r="BE262" s="106"/>
      <c r="BF262" s="106"/>
      <c r="BG262" s="106"/>
      <c r="BH262" s="106"/>
      <c r="BI262" s="106"/>
      <c r="BJ262" s="106"/>
      <c r="BK262" s="106"/>
      <c r="BL262" s="106"/>
      <c r="BM262" s="106"/>
      <c r="BN262" s="106"/>
      <c r="BO262" s="106"/>
      <c r="BP262" s="106"/>
      <c r="BQ262" s="106"/>
      <c r="BR262" s="106"/>
      <c r="BS262" s="106"/>
      <c r="BT262" s="106"/>
      <c r="BU262" s="106"/>
    </row>
    <row r="263" spans="15:73"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  <c r="BE263" s="106"/>
      <c r="BF263" s="106"/>
      <c r="BG263" s="106"/>
      <c r="BH263" s="106"/>
      <c r="BI263" s="106"/>
      <c r="BJ263" s="106"/>
      <c r="BK263" s="106"/>
      <c r="BL263" s="106"/>
      <c r="BM263" s="106"/>
      <c r="BN263" s="106"/>
      <c r="BO263" s="106"/>
      <c r="BP263" s="106"/>
      <c r="BQ263" s="106"/>
      <c r="BR263" s="106"/>
      <c r="BS263" s="106"/>
      <c r="BT263" s="106"/>
      <c r="BU263" s="106"/>
    </row>
    <row r="264" spans="15:73"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  <c r="AY264" s="106"/>
      <c r="AZ264" s="106"/>
      <c r="BA264" s="106"/>
      <c r="BB264" s="106"/>
      <c r="BC264" s="106"/>
      <c r="BD264" s="106"/>
      <c r="BE264" s="106"/>
      <c r="BF264" s="106"/>
      <c r="BG264" s="106"/>
      <c r="BH264" s="106"/>
      <c r="BI264" s="106"/>
      <c r="BJ264" s="106"/>
      <c r="BK264" s="106"/>
      <c r="BL264" s="106"/>
      <c r="BM264" s="106"/>
      <c r="BN264" s="106"/>
      <c r="BO264" s="106"/>
      <c r="BP264" s="106"/>
      <c r="BQ264" s="106"/>
      <c r="BR264" s="106"/>
      <c r="BS264" s="106"/>
      <c r="BT264" s="106"/>
      <c r="BU264" s="106"/>
    </row>
    <row r="265" spans="15:73"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  <c r="AY265" s="106"/>
      <c r="AZ265" s="106"/>
      <c r="BA265" s="106"/>
      <c r="BB265" s="106"/>
      <c r="BC265" s="106"/>
      <c r="BD265" s="106"/>
      <c r="BE265" s="106"/>
      <c r="BF265" s="106"/>
      <c r="BG265" s="106"/>
      <c r="BH265" s="106"/>
      <c r="BI265" s="106"/>
      <c r="BJ265" s="106"/>
      <c r="BK265" s="106"/>
      <c r="BL265" s="106"/>
      <c r="BM265" s="106"/>
      <c r="BN265" s="106"/>
      <c r="BO265" s="106"/>
      <c r="BP265" s="106"/>
      <c r="BQ265" s="106"/>
      <c r="BR265" s="106"/>
      <c r="BS265" s="106"/>
      <c r="BT265" s="106"/>
      <c r="BU265" s="106"/>
    </row>
    <row r="266" spans="15:73"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</row>
    <row r="267" spans="15:73"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</row>
    <row r="268" spans="15:73"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  <c r="AY268" s="106"/>
      <c r="AZ268" s="106"/>
      <c r="BA268" s="106"/>
      <c r="BB268" s="106"/>
      <c r="BC268" s="106"/>
      <c r="BD268" s="106"/>
      <c r="BE268" s="106"/>
      <c r="BF268" s="106"/>
      <c r="BG268" s="106"/>
      <c r="BH268" s="106"/>
      <c r="BI268" s="106"/>
      <c r="BJ268" s="106"/>
      <c r="BK268" s="106"/>
      <c r="BL268" s="106"/>
      <c r="BM268" s="106"/>
      <c r="BN268" s="106"/>
      <c r="BO268" s="106"/>
      <c r="BP268" s="106"/>
      <c r="BQ268" s="106"/>
      <c r="BR268" s="106"/>
      <c r="BS268" s="106"/>
      <c r="BT268" s="106"/>
      <c r="BU268" s="106"/>
    </row>
    <row r="269" spans="15:73"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6"/>
      <c r="BJ269" s="106"/>
      <c r="BK269" s="106"/>
      <c r="BL269" s="106"/>
      <c r="BM269" s="106"/>
      <c r="BN269" s="106"/>
      <c r="BO269" s="106"/>
      <c r="BP269" s="106"/>
      <c r="BQ269" s="106"/>
      <c r="BR269" s="106"/>
      <c r="BS269" s="106"/>
      <c r="BT269" s="106"/>
      <c r="BU269" s="106"/>
    </row>
    <row r="270" spans="15:73"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  <c r="AY270" s="106"/>
      <c r="AZ270" s="106"/>
      <c r="BA270" s="106"/>
      <c r="BB270" s="106"/>
      <c r="BC270" s="106"/>
      <c r="BD270" s="106"/>
      <c r="BE270" s="106"/>
      <c r="BF270" s="106"/>
      <c r="BG270" s="106"/>
      <c r="BH270" s="106"/>
      <c r="BI270" s="106"/>
      <c r="BJ270" s="106"/>
      <c r="BK270" s="106"/>
      <c r="BL270" s="106"/>
      <c r="BM270" s="106"/>
      <c r="BN270" s="106"/>
      <c r="BO270" s="106"/>
      <c r="BP270" s="106"/>
      <c r="BQ270" s="106"/>
      <c r="BR270" s="106"/>
      <c r="BS270" s="106"/>
      <c r="BT270" s="106"/>
      <c r="BU270" s="106"/>
    </row>
    <row r="271" spans="15:73"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  <c r="AY271" s="106"/>
      <c r="AZ271" s="106"/>
      <c r="BA271" s="106"/>
      <c r="BB271" s="106"/>
      <c r="BC271" s="106"/>
      <c r="BD271" s="106"/>
      <c r="BE271" s="106"/>
      <c r="BF271" s="106"/>
      <c r="BG271" s="106"/>
      <c r="BH271" s="106"/>
      <c r="BI271" s="106"/>
      <c r="BJ271" s="106"/>
      <c r="BK271" s="106"/>
      <c r="BL271" s="106"/>
      <c r="BM271" s="106"/>
      <c r="BN271" s="106"/>
      <c r="BO271" s="106"/>
      <c r="BP271" s="106"/>
      <c r="BQ271" s="106"/>
      <c r="BR271" s="106"/>
      <c r="BS271" s="106"/>
      <c r="BT271" s="106"/>
      <c r="BU271" s="106"/>
    </row>
    <row r="272" spans="15:73"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  <c r="AY272" s="106"/>
      <c r="AZ272" s="106"/>
      <c r="BA272" s="106"/>
      <c r="BB272" s="106"/>
      <c r="BC272" s="106"/>
      <c r="BD272" s="106"/>
      <c r="BE272" s="106"/>
      <c r="BF272" s="106"/>
      <c r="BG272" s="106"/>
      <c r="BH272" s="106"/>
      <c r="BI272" s="106"/>
      <c r="BJ272" s="106"/>
      <c r="BK272" s="106"/>
      <c r="BL272" s="106"/>
      <c r="BM272" s="106"/>
      <c r="BN272" s="106"/>
      <c r="BO272" s="106"/>
      <c r="BP272" s="106"/>
      <c r="BQ272" s="106"/>
      <c r="BR272" s="106"/>
      <c r="BS272" s="106"/>
      <c r="BT272" s="106"/>
      <c r="BU272" s="106"/>
    </row>
    <row r="273" spans="15:73"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  <c r="BE273" s="106"/>
      <c r="BF273" s="106"/>
      <c r="BG273" s="106"/>
      <c r="BH273" s="106"/>
      <c r="BI273" s="106"/>
      <c r="BJ273" s="106"/>
      <c r="BK273" s="106"/>
      <c r="BL273" s="106"/>
      <c r="BM273" s="106"/>
      <c r="BN273" s="106"/>
      <c r="BO273" s="106"/>
      <c r="BP273" s="106"/>
      <c r="BQ273" s="106"/>
      <c r="BR273" s="106"/>
      <c r="BS273" s="106"/>
      <c r="BT273" s="106"/>
      <c r="BU273" s="106"/>
    </row>
    <row r="274" spans="15:73"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</row>
    <row r="275" spans="15:73"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6"/>
      <c r="BJ275" s="106"/>
      <c r="BK275" s="106"/>
      <c r="BL275" s="106"/>
      <c r="BM275" s="106"/>
      <c r="BN275" s="106"/>
      <c r="BO275" s="106"/>
      <c r="BP275" s="106"/>
      <c r="BQ275" s="106"/>
      <c r="BR275" s="106"/>
      <c r="BS275" s="106"/>
      <c r="BT275" s="106"/>
      <c r="BU275" s="106"/>
    </row>
    <row r="276" spans="15:73"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  <c r="AY276" s="106"/>
      <c r="AZ276" s="106"/>
      <c r="BA276" s="106"/>
      <c r="BB276" s="106"/>
      <c r="BC276" s="106"/>
      <c r="BD276" s="106"/>
      <c r="BE276" s="106"/>
      <c r="BF276" s="106"/>
      <c r="BG276" s="106"/>
      <c r="BH276" s="106"/>
      <c r="BI276" s="106"/>
      <c r="BJ276" s="106"/>
      <c r="BK276" s="106"/>
      <c r="BL276" s="106"/>
      <c r="BM276" s="106"/>
      <c r="BN276" s="106"/>
      <c r="BO276" s="106"/>
      <c r="BP276" s="106"/>
      <c r="BQ276" s="106"/>
      <c r="BR276" s="106"/>
      <c r="BS276" s="106"/>
      <c r="BT276" s="106"/>
      <c r="BU276" s="106"/>
    </row>
    <row r="277" spans="15:73"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  <c r="AY277" s="106"/>
      <c r="AZ277" s="106"/>
      <c r="BA277" s="106"/>
      <c r="BB277" s="106"/>
      <c r="BC277" s="106"/>
      <c r="BD277" s="106"/>
      <c r="BE277" s="106"/>
      <c r="BF277" s="106"/>
      <c r="BG277" s="106"/>
      <c r="BH277" s="106"/>
      <c r="BI277" s="106"/>
      <c r="BJ277" s="106"/>
      <c r="BK277" s="106"/>
      <c r="BL277" s="106"/>
      <c r="BM277" s="106"/>
      <c r="BN277" s="106"/>
      <c r="BO277" s="106"/>
      <c r="BP277" s="106"/>
      <c r="BQ277" s="106"/>
      <c r="BR277" s="106"/>
      <c r="BS277" s="106"/>
      <c r="BT277" s="106"/>
      <c r="BU277" s="106"/>
    </row>
    <row r="278" spans="15:73"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  <c r="AY278" s="106"/>
      <c r="AZ278" s="106"/>
      <c r="BA278" s="106"/>
      <c r="BB278" s="106"/>
      <c r="BC278" s="106"/>
      <c r="BD278" s="106"/>
      <c r="BE278" s="106"/>
      <c r="BF278" s="106"/>
      <c r="BG278" s="106"/>
      <c r="BH278" s="106"/>
      <c r="BI278" s="106"/>
      <c r="BJ278" s="106"/>
      <c r="BK278" s="106"/>
      <c r="BL278" s="106"/>
      <c r="BM278" s="106"/>
      <c r="BN278" s="106"/>
      <c r="BO278" s="106"/>
      <c r="BP278" s="106"/>
      <c r="BQ278" s="106"/>
      <c r="BR278" s="106"/>
      <c r="BS278" s="106"/>
      <c r="BT278" s="106"/>
      <c r="BU278" s="106"/>
    </row>
    <row r="279" spans="15:73"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  <c r="AZ279" s="106"/>
      <c r="BA279" s="106"/>
      <c r="BB279" s="106"/>
      <c r="BC279" s="106"/>
      <c r="BD279" s="106"/>
      <c r="BE279" s="106"/>
      <c r="BF279" s="106"/>
      <c r="BG279" s="106"/>
      <c r="BH279" s="106"/>
      <c r="BI279" s="106"/>
      <c r="BJ279" s="106"/>
      <c r="BK279" s="106"/>
      <c r="BL279" s="106"/>
      <c r="BM279" s="106"/>
      <c r="BN279" s="106"/>
      <c r="BO279" s="106"/>
      <c r="BP279" s="106"/>
      <c r="BQ279" s="106"/>
      <c r="BR279" s="106"/>
      <c r="BS279" s="106"/>
      <c r="BT279" s="106"/>
      <c r="BU279" s="106"/>
    </row>
    <row r="280" spans="15:73"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6"/>
      <c r="BQ280" s="106"/>
      <c r="BR280" s="106"/>
      <c r="BS280" s="106"/>
      <c r="BT280" s="106"/>
      <c r="BU280" s="106"/>
    </row>
    <row r="281" spans="15:73"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6"/>
      <c r="BQ281" s="106"/>
      <c r="BR281" s="106"/>
      <c r="BS281" s="106"/>
      <c r="BT281" s="106"/>
      <c r="BU281" s="106"/>
    </row>
    <row r="282" spans="15:73"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</row>
    <row r="283" spans="15:73"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6"/>
      <c r="BR283" s="106"/>
      <c r="BS283" s="106"/>
      <c r="BT283" s="106"/>
      <c r="BU283" s="106"/>
    </row>
    <row r="284" spans="15:73"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6"/>
      <c r="BQ284" s="106"/>
      <c r="BR284" s="106"/>
      <c r="BS284" s="106"/>
      <c r="BT284" s="106"/>
      <c r="BU284" s="106"/>
    </row>
    <row r="285" spans="15:73"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6"/>
      <c r="BQ285" s="106"/>
      <c r="BR285" s="106"/>
      <c r="BS285" s="106"/>
      <c r="BT285" s="106"/>
      <c r="BU285" s="106"/>
    </row>
    <row r="286" spans="15:73"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6"/>
      <c r="BQ286" s="106"/>
      <c r="BR286" s="106"/>
      <c r="BS286" s="106"/>
      <c r="BT286" s="106"/>
      <c r="BU286" s="106"/>
    </row>
    <row r="287" spans="15:73"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6"/>
      <c r="BQ287" s="106"/>
      <c r="BR287" s="106"/>
      <c r="BS287" s="106"/>
      <c r="BT287" s="106"/>
      <c r="BU287" s="106"/>
    </row>
    <row r="288" spans="15:73"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6"/>
      <c r="BQ288" s="106"/>
      <c r="BR288" s="106"/>
      <c r="BS288" s="106"/>
      <c r="BT288" s="106"/>
      <c r="BU288" s="106"/>
    </row>
    <row r="289" spans="15:73"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6"/>
      <c r="BQ289" s="106"/>
      <c r="BR289" s="106"/>
      <c r="BS289" s="106"/>
      <c r="BT289" s="106"/>
      <c r="BU289" s="106"/>
    </row>
    <row r="290" spans="15:73"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</row>
    <row r="291" spans="15:73"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6"/>
      <c r="BQ291" s="106"/>
      <c r="BR291" s="106"/>
      <c r="BS291" s="106"/>
      <c r="BT291" s="106"/>
      <c r="BU291" s="106"/>
    </row>
    <row r="292" spans="15:73"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6"/>
      <c r="BQ292" s="106"/>
      <c r="BR292" s="106"/>
      <c r="BS292" s="106"/>
      <c r="BT292" s="106"/>
      <c r="BU292" s="106"/>
    </row>
    <row r="293" spans="15:73"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6"/>
      <c r="BQ293" s="106"/>
      <c r="BR293" s="106"/>
      <c r="BS293" s="106"/>
      <c r="BT293" s="106"/>
      <c r="BU293" s="106"/>
    </row>
    <row r="294" spans="15:73"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6"/>
      <c r="BQ294" s="106"/>
      <c r="BR294" s="106"/>
      <c r="BS294" s="106"/>
      <c r="BT294" s="106"/>
      <c r="BU294" s="106"/>
    </row>
    <row r="295" spans="15:73"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6"/>
      <c r="BQ295" s="106"/>
      <c r="BR295" s="106"/>
      <c r="BS295" s="106"/>
      <c r="BT295" s="106"/>
      <c r="BU295" s="106"/>
    </row>
    <row r="296" spans="15:73"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6"/>
      <c r="BQ296" s="106"/>
      <c r="BR296" s="106"/>
      <c r="BS296" s="106"/>
      <c r="BT296" s="106"/>
      <c r="BU296" s="106"/>
    </row>
    <row r="297" spans="15:73"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  <c r="AY297" s="106"/>
      <c r="AZ297" s="106"/>
      <c r="BA297" s="106"/>
      <c r="BB297" s="106"/>
      <c r="BC297" s="106"/>
      <c r="BD297" s="106"/>
      <c r="BE297" s="106"/>
      <c r="BF297" s="106"/>
      <c r="BG297" s="106"/>
      <c r="BH297" s="106"/>
      <c r="BI297" s="106"/>
      <c r="BJ297" s="106"/>
      <c r="BK297" s="106"/>
      <c r="BL297" s="106"/>
      <c r="BM297" s="106"/>
      <c r="BN297" s="106"/>
      <c r="BO297" s="106"/>
      <c r="BP297" s="106"/>
      <c r="BQ297" s="106"/>
      <c r="BR297" s="106"/>
      <c r="BS297" s="106"/>
      <c r="BT297" s="106"/>
      <c r="BU297" s="106"/>
    </row>
    <row r="298" spans="15:73"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</row>
    <row r="299" spans="15:73"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  <c r="AY299" s="106"/>
      <c r="AZ299" s="106"/>
      <c r="BA299" s="106"/>
      <c r="BB299" s="106"/>
      <c r="BC299" s="106"/>
      <c r="BD299" s="106"/>
      <c r="BE299" s="106"/>
      <c r="BF299" s="106"/>
      <c r="BG299" s="106"/>
      <c r="BH299" s="106"/>
      <c r="BI299" s="106"/>
      <c r="BJ299" s="106"/>
      <c r="BK299" s="106"/>
      <c r="BL299" s="106"/>
      <c r="BM299" s="106"/>
      <c r="BN299" s="106"/>
      <c r="BO299" s="106"/>
      <c r="BP299" s="106"/>
      <c r="BQ299" s="106"/>
      <c r="BR299" s="106"/>
      <c r="BS299" s="106"/>
      <c r="BT299" s="106"/>
      <c r="BU299" s="106"/>
    </row>
    <row r="300" spans="15:73"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  <c r="AZ300" s="106"/>
      <c r="BA300" s="106"/>
      <c r="BB300" s="106"/>
      <c r="BC300" s="106"/>
      <c r="BD300" s="106"/>
      <c r="BE300" s="106"/>
      <c r="BF300" s="106"/>
      <c r="BG300" s="106"/>
      <c r="BH300" s="106"/>
      <c r="BI300" s="106"/>
      <c r="BJ300" s="106"/>
      <c r="BK300" s="106"/>
      <c r="BL300" s="106"/>
      <c r="BM300" s="106"/>
      <c r="BN300" s="106"/>
      <c r="BO300" s="106"/>
      <c r="BP300" s="106"/>
      <c r="BQ300" s="106"/>
      <c r="BR300" s="106"/>
      <c r="BS300" s="106"/>
      <c r="BT300" s="106"/>
      <c r="BU300" s="106"/>
    </row>
    <row r="301" spans="15:73"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  <c r="AV301" s="106"/>
      <c r="AW301" s="106"/>
      <c r="AX301" s="106"/>
      <c r="AY301" s="106"/>
      <c r="AZ301" s="106"/>
      <c r="BA301" s="106"/>
      <c r="BB301" s="106"/>
      <c r="BC301" s="106"/>
      <c r="BD301" s="106"/>
      <c r="BE301" s="106"/>
      <c r="BF301" s="106"/>
      <c r="BG301" s="106"/>
      <c r="BH301" s="106"/>
      <c r="BI301" s="106"/>
      <c r="BJ301" s="106"/>
      <c r="BK301" s="106"/>
      <c r="BL301" s="106"/>
      <c r="BM301" s="106"/>
      <c r="BN301" s="106"/>
      <c r="BO301" s="106"/>
      <c r="BP301" s="106"/>
      <c r="BQ301" s="106"/>
      <c r="BR301" s="106"/>
      <c r="BS301" s="106"/>
      <c r="BT301" s="106"/>
      <c r="BU301" s="106"/>
    </row>
    <row r="302" spans="15:73"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  <c r="AV302" s="106"/>
      <c r="AW302" s="106"/>
      <c r="AX302" s="106"/>
      <c r="AY302" s="106"/>
      <c r="AZ302" s="106"/>
      <c r="BA302" s="106"/>
      <c r="BB302" s="106"/>
      <c r="BC302" s="106"/>
      <c r="BD302" s="106"/>
      <c r="BE302" s="106"/>
      <c r="BF302" s="106"/>
      <c r="BG302" s="106"/>
      <c r="BH302" s="106"/>
      <c r="BI302" s="106"/>
      <c r="BJ302" s="106"/>
      <c r="BK302" s="106"/>
      <c r="BL302" s="106"/>
      <c r="BM302" s="106"/>
      <c r="BN302" s="106"/>
      <c r="BO302" s="106"/>
      <c r="BP302" s="106"/>
      <c r="BQ302" s="106"/>
      <c r="BR302" s="106"/>
      <c r="BS302" s="106"/>
      <c r="BT302" s="106"/>
      <c r="BU302" s="106"/>
    </row>
    <row r="303" spans="15:73"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  <c r="AV303" s="106"/>
      <c r="AW303" s="106"/>
      <c r="AX303" s="106"/>
      <c r="AY303" s="106"/>
      <c r="AZ303" s="106"/>
      <c r="BA303" s="106"/>
      <c r="BB303" s="106"/>
      <c r="BC303" s="106"/>
      <c r="BD303" s="106"/>
      <c r="BE303" s="106"/>
      <c r="BF303" s="106"/>
      <c r="BG303" s="106"/>
      <c r="BH303" s="106"/>
      <c r="BI303" s="106"/>
      <c r="BJ303" s="106"/>
      <c r="BK303" s="106"/>
      <c r="BL303" s="106"/>
      <c r="BM303" s="106"/>
      <c r="BN303" s="106"/>
      <c r="BO303" s="106"/>
      <c r="BP303" s="106"/>
      <c r="BQ303" s="106"/>
      <c r="BR303" s="106"/>
      <c r="BS303" s="106"/>
      <c r="BT303" s="106"/>
      <c r="BU303" s="106"/>
    </row>
    <row r="304" spans="15:73"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  <c r="BE304" s="106"/>
      <c r="BF304" s="106"/>
      <c r="BG304" s="106"/>
      <c r="BH304" s="106"/>
      <c r="BI304" s="106"/>
      <c r="BJ304" s="106"/>
      <c r="BK304" s="106"/>
      <c r="BL304" s="106"/>
      <c r="BM304" s="106"/>
      <c r="BN304" s="106"/>
      <c r="BO304" s="106"/>
      <c r="BP304" s="106"/>
      <c r="BQ304" s="106"/>
      <c r="BR304" s="106"/>
      <c r="BS304" s="106"/>
      <c r="BT304" s="106"/>
      <c r="BU304" s="106"/>
    </row>
    <row r="305" spans="15:73"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  <c r="AV305" s="106"/>
      <c r="AW305" s="106"/>
      <c r="AX305" s="106"/>
      <c r="AY305" s="106"/>
      <c r="AZ305" s="106"/>
      <c r="BA305" s="106"/>
      <c r="BB305" s="106"/>
      <c r="BC305" s="106"/>
      <c r="BD305" s="106"/>
      <c r="BE305" s="106"/>
      <c r="BF305" s="106"/>
      <c r="BG305" s="106"/>
      <c r="BH305" s="106"/>
      <c r="BI305" s="106"/>
      <c r="BJ305" s="106"/>
      <c r="BK305" s="106"/>
      <c r="BL305" s="106"/>
      <c r="BM305" s="106"/>
      <c r="BN305" s="106"/>
      <c r="BO305" s="106"/>
      <c r="BP305" s="106"/>
      <c r="BQ305" s="106"/>
      <c r="BR305" s="106"/>
      <c r="BS305" s="106"/>
      <c r="BT305" s="106"/>
      <c r="BU305" s="106"/>
    </row>
    <row r="306" spans="15:73"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  <c r="AV306" s="106"/>
      <c r="AW306" s="106"/>
      <c r="AX306" s="106"/>
      <c r="AY306" s="106"/>
      <c r="AZ306" s="106"/>
      <c r="BA306" s="106"/>
      <c r="BB306" s="106"/>
      <c r="BC306" s="106"/>
      <c r="BD306" s="106"/>
      <c r="BE306" s="106"/>
      <c r="BF306" s="106"/>
      <c r="BG306" s="106"/>
      <c r="BH306" s="106"/>
      <c r="BI306" s="106"/>
      <c r="BJ306" s="106"/>
      <c r="BK306" s="106"/>
      <c r="BL306" s="106"/>
      <c r="BM306" s="106"/>
      <c r="BN306" s="106"/>
      <c r="BO306" s="106"/>
      <c r="BP306" s="106"/>
      <c r="BQ306" s="106"/>
      <c r="BR306" s="106"/>
      <c r="BS306" s="106"/>
      <c r="BT306" s="106"/>
      <c r="BU306" s="106"/>
    </row>
    <row r="307" spans="15:73"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</row>
    <row r="308" spans="15:73"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  <c r="AV308" s="106"/>
      <c r="AW308" s="106"/>
      <c r="AX308" s="106"/>
      <c r="AY308" s="106"/>
      <c r="AZ308" s="106"/>
      <c r="BA308" s="106"/>
      <c r="BB308" s="106"/>
      <c r="BC308" s="106"/>
      <c r="BD308" s="106"/>
      <c r="BE308" s="106"/>
      <c r="BF308" s="106"/>
      <c r="BG308" s="106"/>
      <c r="BH308" s="106"/>
      <c r="BI308" s="106"/>
      <c r="BJ308" s="106"/>
      <c r="BK308" s="106"/>
      <c r="BL308" s="106"/>
      <c r="BM308" s="106"/>
      <c r="BN308" s="106"/>
      <c r="BO308" s="106"/>
      <c r="BP308" s="106"/>
      <c r="BQ308" s="106"/>
      <c r="BR308" s="106"/>
      <c r="BS308" s="106"/>
      <c r="BT308" s="106"/>
      <c r="BU308" s="106"/>
    </row>
    <row r="309" spans="15:73"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  <c r="AZ309" s="106"/>
      <c r="BA309" s="106"/>
      <c r="BB309" s="106"/>
      <c r="BC309" s="106"/>
      <c r="BD309" s="106"/>
      <c r="BE309" s="106"/>
      <c r="BF309" s="106"/>
      <c r="BG309" s="106"/>
      <c r="BH309" s="106"/>
      <c r="BI309" s="106"/>
      <c r="BJ309" s="106"/>
      <c r="BK309" s="106"/>
      <c r="BL309" s="106"/>
      <c r="BM309" s="106"/>
      <c r="BN309" s="106"/>
      <c r="BO309" s="106"/>
      <c r="BP309" s="106"/>
      <c r="BQ309" s="106"/>
      <c r="BR309" s="106"/>
      <c r="BS309" s="106"/>
      <c r="BT309" s="106"/>
      <c r="BU309" s="106"/>
    </row>
    <row r="310" spans="15:73"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  <c r="AV310" s="106"/>
      <c r="AW310" s="106"/>
      <c r="AX310" s="106"/>
      <c r="AY310" s="106"/>
      <c r="AZ310" s="106"/>
      <c r="BA310" s="106"/>
      <c r="BB310" s="106"/>
      <c r="BC310" s="106"/>
      <c r="BD310" s="106"/>
      <c r="BE310" s="106"/>
      <c r="BF310" s="106"/>
      <c r="BG310" s="106"/>
      <c r="BH310" s="106"/>
      <c r="BI310" s="106"/>
      <c r="BJ310" s="106"/>
      <c r="BK310" s="106"/>
      <c r="BL310" s="106"/>
      <c r="BM310" s="106"/>
      <c r="BN310" s="106"/>
      <c r="BO310" s="106"/>
      <c r="BP310" s="106"/>
      <c r="BQ310" s="106"/>
      <c r="BR310" s="106"/>
      <c r="BS310" s="106"/>
      <c r="BT310" s="106"/>
      <c r="BU310" s="106"/>
    </row>
    <row r="311" spans="15:73"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  <c r="AV311" s="106"/>
      <c r="AW311" s="106"/>
      <c r="AX311" s="106"/>
      <c r="AY311" s="106"/>
      <c r="AZ311" s="106"/>
      <c r="BA311" s="106"/>
      <c r="BB311" s="106"/>
      <c r="BC311" s="106"/>
      <c r="BD311" s="106"/>
      <c r="BE311" s="106"/>
      <c r="BF311" s="106"/>
      <c r="BG311" s="106"/>
      <c r="BH311" s="106"/>
      <c r="BI311" s="106"/>
      <c r="BJ311" s="106"/>
      <c r="BK311" s="106"/>
      <c r="BL311" s="106"/>
      <c r="BM311" s="106"/>
      <c r="BN311" s="106"/>
      <c r="BO311" s="106"/>
      <c r="BP311" s="106"/>
      <c r="BQ311" s="106"/>
      <c r="BR311" s="106"/>
      <c r="BS311" s="106"/>
      <c r="BT311" s="106"/>
      <c r="BU311" s="106"/>
    </row>
    <row r="312" spans="15:73"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  <c r="AV312" s="106"/>
      <c r="AW312" s="106"/>
      <c r="AX312" s="106"/>
      <c r="AY312" s="106"/>
      <c r="AZ312" s="106"/>
      <c r="BA312" s="106"/>
      <c r="BB312" s="106"/>
      <c r="BC312" s="106"/>
      <c r="BD312" s="106"/>
      <c r="BE312" s="106"/>
      <c r="BF312" s="106"/>
      <c r="BG312" s="106"/>
      <c r="BH312" s="106"/>
      <c r="BI312" s="106"/>
      <c r="BJ312" s="106"/>
      <c r="BK312" s="106"/>
      <c r="BL312" s="106"/>
      <c r="BM312" s="106"/>
      <c r="BN312" s="106"/>
      <c r="BO312" s="106"/>
      <c r="BP312" s="106"/>
      <c r="BQ312" s="106"/>
      <c r="BR312" s="106"/>
      <c r="BS312" s="106"/>
      <c r="BT312" s="106"/>
      <c r="BU312" s="106"/>
    </row>
    <row r="313" spans="15:73"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  <c r="AV313" s="106"/>
      <c r="AW313" s="106"/>
      <c r="AX313" s="106"/>
      <c r="AY313" s="106"/>
      <c r="AZ313" s="106"/>
      <c r="BA313" s="106"/>
      <c r="BB313" s="106"/>
      <c r="BC313" s="106"/>
      <c r="BD313" s="106"/>
      <c r="BE313" s="106"/>
      <c r="BF313" s="106"/>
      <c r="BG313" s="106"/>
      <c r="BH313" s="106"/>
      <c r="BI313" s="106"/>
      <c r="BJ313" s="106"/>
      <c r="BK313" s="106"/>
      <c r="BL313" s="106"/>
      <c r="BM313" s="106"/>
      <c r="BN313" s="106"/>
      <c r="BO313" s="106"/>
      <c r="BP313" s="106"/>
      <c r="BQ313" s="106"/>
      <c r="BR313" s="106"/>
      <c r="BS313" s="106"/>
      <c r="BT313" s="106"/>
      <c r="BU313" s="106"/>
    </row>
    <row r="314" spans="15:73"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6"/>
      <c r="BR314" s="106"/>
      <c r="BS314" s="106"/>
      <c r="BT314" s="106"/>
      <c r="BU314" s="106"/>
    </row>
    <row r="315" spans="15:73"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  <c r="AZ315" s="106"/>
      <c r="BA315" s="106"/>
      <c r="BB315" s="106"/>
      <c r="BC315" s="106"/>
      <c r="BD315" s="106"/>
      <c r="BE315" s="106"/>
      <c r="BF315" s="106"/>
      <c r="BG315" s="106"/>
      <c r="BH315" s="106"/>
      <c r="BI315" s="106"/>
      <c r="BJ315" s="106"/>
      <c r="BK315" s="106"/>
      <c r="BL315" s="106"/>
      <c r="BM315" s="106"/>
      <c r="BN315" s="106"/>
      <c r="BO315" s="106"/>
      <c r="BP315" s="106"/>
      <c r="BQ315" s="106"/>
      <c r="BR315" s="106"/>
      <c r="BS315" s="106"/>
      <c r="BT315" s="106"/>
      <c r="BU315" s="106"/>
    </row>
    <row r="316" spans="15:73"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</row>
    <row r="317" spans="15:73"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  <c r="AV317" s="106"/>
      <c r="AW317" s="106"/>
      <c r="AX317" s="106"/>
      <c r="AY317" s="106"/>
      <c r="AZ317" s="106"/>
      <c r="BA317" s="106"/>
      <c r="BB317" s="106"/>
      <c r="BC317" s="106"/>
      <c r="BD317" s="106"/>
      <c r="BE317" s="106"/>
      <c r="BF317" s="106"/>
      <c r="BG317" s="106"/>
      <c r="BH317" s="106"/>
      <c r="BI317" s="106"/>
      <c r="BJ317" s="106"/>
      <c r="BK317" s="106"/>
      <c r="BL317" s="106"/>
      <c r="BM317" s="106"/>
      <c r="BN317" s="106"/>
      <c r="BO317" s="106"/>
      <c r="BP317" s="106"/>
      <c r="BQ317" s="106"/>
      <c r="BR317" s="106"/>
      <c r="BS317" s="106"/>
      <c r="BT317" s="106"/>
      <c r="BU317" s="106"/>
    </row>
    <row r="318" spans="15:73"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  <c r="AZ318" s="106"/>
      <c r="BA318" s="106"/>
      <c r="BB318" s="106"/>
      <c r="BC318" s="106"/>
      <c r="BD318" s="106"/>
      <c r="BE318" s="106"/>
      <c r="BF318" s="106"/>
      <c r="BG318" s="106"/>
      <c r="BH318" s="106"/>
      <c r="BI318" s="106"/>
      <c r="BJ318" s="106"/>
      <c r="BK318" s="106"/>
      <c r="BL318" s="106"/>
      <c r="BM318" s="106"/>
      <c r="BN318" s="106"/>
      <c r="BO318" s="106"/>
      <c r="BP318" s="106"/>
      <c r="BQ318" s="106"/>
      <c r="BR318" s="106"/>
      <c r="BS318" s="106"/>
      <c r="BT318" s="106"/>
      <c r="BU318" s="106"/>
    </row>
    <row r="319" spans="15:73"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  <c r="AZ319" s="106"/>
      <c r="BA319" s="106"/>
      <c r="BB319" s="106"/>
      <c r="BC319" s="106"/>
      <c r="BD319" s="106"/>
      <c r="BE319" s="106"/>
      <c r="BF319" s="106"/>
      <c r="BG319" s="106"/>
      <c r="BH319" s="106"/>
      <c r="BI319" s="106"/>
      <c r="BJ319" s="106"/>
      <c r="BK319" s="106"/>
      <c r="BL319" s="106"/>
      <c r="BM319" s="106"/>
      <c r="BN319" s="106"/>
      <c r="BO319" s="106"/>
      <c r="BP319" s="106"/>
      <c r="BQ319" s="106"/>
      <c r="BR319" s="106"/>
      <c r="BS319" s="106"/>
      <c r="BT319" s="106"/>
      <c r="BU319" s="106"/>
    </row>
    <row r="320" spans="15:73"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  <c r="AZ320" s="106"/>
      <c r="BA320" s="106"/>
      <c r="BB320" s="106"/>
      <c r="BC320" s="106"/>
      <c r="BD320" s="106"/>
      <c r="BE320" s="106"/>
      <c r="BF320" s="106"/>
      <c r="BG320" s="106"/>
      <c r="BH320" s="106"/>
      <c r="BI320" s="106"/>
      <c r="BJ320" s="106"/>
      <c r="BK320" s="106"/>
      <c r="BL320" s="106"/>
      <c r="BM320" s="106"/>
      <c r="BN320" s="106"/>
      <c r="BO320" s="106"/>
      <c r="BP320" s="106"/>
      <c r="BQ320" s="106"/>
      <c r="BR320" s="106"/>
      <c r="BS320" s="106"/>
      <c r="BT320" s="106"/>
      <c r="BU320" s="106"/>
    </row>
    <row r="321" spans="15:73"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6"/>
      <c r="BR321" s="106"/>
      <c r="BS321" s="106"/>
      <c r="BT321" s="106"/>
      <c r="BU321" s="106"/>
    </row>
    <row r="322" spans="15:73"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  <c r="AV322" s="106"/>
      <c r="AW322" s="106"/>
      <c r="AX322" s="106"/>
      <c r="AY322" s="106"/>
      <c r="AZ322" s="106"/>
      <c r="BA322" s="106"/>
      <c r="BB322" s="106"/>
      <c r="BC322" s="106"/>
      <c r="BD322" s="106"/>
      <c r="BE322" s="106"/>
      <c r="BF322" s="106"/>
      <c r="BG322" s="106"/>
      <c r="BH322" s="106"/>
      <c r="BI322" s="106"/>
      <c r="BJ322" s="106"/>
      <c r="BK322" s="106"/>
      <c r="BL322" s="106"/>
      <c r="BM322" s="106"/>
      <c r="BN322" s="106"/>
      <c r="BO322" s="106"/>
      <c r="BP322" s="106"/>
      <c r="BQ322" s="106"/>
      <c r="BR322" s="106"/>
      <c r="BS322" s="106"/>
      <c r="BT322" s="106"/>
      <c r="BU322" s="106"/>
    </row>
    <row r="323" spans="15:73"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  <c r="AV323" s="106"/>
      <c r="AW323" s="106"/>
      <c r="AX323" s="106"/>
      <c r="AY323" s="106"/>
      <c r="AZ323" s="106"/>
      <c r="BA323" s="106"/>
      <c r="BB323" s="106"/>
      <c r="BC323" s="106"/>
      <c r="BD323" s="106"/>
      <c r="BE323" s="106"/>
      <c r="BF323" s="106"/>
      <c r="BG323" s="106"/>
      <c r="BH323" s="106"/>
      <c r="BI323" s="106"/>
      <c r="BJ323" s="106"/>
      <c r="BK323" s="106"/>
      <c r="BL323" s="106"/>
      <c r="BM323" s="106"/>
      <c r="BN323" s="106"/>
      <c r="BO323" s="106"/>
      <c r="BP323" s="106"/>
      <c r="BQ323" s="106"/>
      <c r="BR323" s="106"/>
      <c r="BS323" s="106"/>
      <c r="BT323" s="106"/>
      <c r="BU323" s="106"/>
    </row>
    <row r="324" spans="15:73"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</row>
    <row r="325" spans="15:73"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  <c r="AZ325" s="106"/>
      <c r="BA325" s="106"/>
      <c r="BB325" s="106"/>
      <c r="BC325" s="106"/>
      <c r="BD325" s="106"/>
      <c r="BE325" s="106"/>
      <c r="BF325" s="106"/>
      <c r="BG325" s="106"/>
      <c r="BH325" s="106"/>
      <c r="BI325" s="106"/>
      <c r="BJ325" s="106"/>
      <c r="BK325" s="106"/>
      <c r="BL325" s="106"/>
      <c r="BM325" s="106"/>
      <c r="BN325" s="106"/>
      <c r="BO325" s="106"/>
      <c r="BP325" s="106"/>
      <c r="BQ325" s="106"/>
      <c r="BR325" s="106"/>
      <c r="BS325" s="106"/>
      <c r="BT325" s="106"/>
      <c r="BU325" s="106"/>
    </row>
    <row r="326" spans="15:73"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  <c r="BE326" s="106"/>
      <c r="BF326" s="106"/>
      <c r="BG326" s="106"/>
      <c r="BH326" s="106"/>
      <c r="BI326" s="106"/>
      <c r="BJ326" s="106"/>
      <c r="BK326" s="106"/>
      <c r="BL326" s="106"/>
      <c r="BM326" s="106"/>
      <c r="BN326" s="106"/>
      <c r="BO326" s="106"/>
      <c r="BP326" s="106"/>
      <c r="BQ326" s="106"/>
      <c r="BR326" s="106"/>
      <c r="BS326" s="106"/>
      <c r="BT326" s="106"/>
      <c r="BU326" s="106"/>
    </row>
    <row r="327" spans="15:73"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  <c r="AV327" s="106"/>
      <c r="AW327" s="106"/>
      <c r="AX327" s="106"/>
      <c r="AY327" s="106"/>
      <c r="AZ327" s="106"/>
      <c r="BA327" s="106"/>
      <c r="BB327" s="106"/>
      <c r="BC327" s="106"/>
      <c r="BD327" s="106"/>
      <c r="BE327" s="106"/>
      <c r="BF327" s="106"/>
      <c r="BG327" s="106"/>
      <c r="BH327" s="106"/>
      <c r="BI327" s="106"/>
      <c r="BJ327" s="106"/>
      <c r="BK327" s="106"/>
      <c r="BL327" s="106"/>
      <c r="BM327" s="106"/>
      <c r="BN327" s="106"/>
      <c r="BO327" s="106"/>
      <c r="BP327" s="106"/>
      <c r="BQ327" s="106"/>
      <c r="BR327" s="106"/>
      <c r="BS327" s="106"/>
      <c r="BT327" s="106"/>
      <c r="BU327" s="106"/>
    </row>
    <row r="328" spans="15:73"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  <c r="AV328" s="106"/>
      <c r="AW328" s="106"/>
      <c r="AX328" s="106"/>
      <c r="AY328" s="106"/>
      <c r="AZ328" s="106"/>
      <c r="BA328" s="106"/>
      <c r="BB328" s="106"/>
      <c r="BC328" s="106"/>
      <c r="BD328" s="106"/>
      <c r="BE328" s="106"/>
      <c r="BF328" s="106"/>
      <c r="BG328" s="106"/>
      <c r="BH328" s="106"/>
      <c r="BI328" s="106"/>
      <c r="BJ328" s="106"/>
      <c r="BK328" s="106"/>
      <c r="BL328" s="106"/>
      <c r="BM328" s="106"/>
      <c r="BN328" s="106"/>
      <c r="BO328" s="106"/>
      <c r="BP328" s="106"/>
      <c r="BQ328" s="106"/>
      <c r="BR328" s="106"/>
      <c r="BS328" s="106"/>
      <c r="BT328" s="106"/>
      <c r="BU328" s="106"/>
    </row>
    <row r="329" spans="15:73"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  <c r="AV329" s="106"/>
      <c r="AW329" s="106"/>
      <c r="AX329" s="106"/>
      <c r="AY329" s="106"/>
      <c r="AZ329" s="106"/>
      <c r="BA329" s="106"/>
      <c r="BB329" s="106"/>
      <c r="BC329" s="106"/>
      <c r="BD329" s="106"/>
      <c r="BE329" s="106"/>
      <c r="BF329" s="106"/>
      <c r="BG329" s="106"/>
      <c r="BH329" s="106"/>
      <c r="BI329" s="106"/>
      <c r="BJ329" s="106"/>
      <c r="BK329" s="106"/>
      <c r="BL329" s="106"/>
      <c r="BM329" s="106"/>
      <c r="BN329" s="106"/>
      <c r="BO329" s="106"/>
      <c r="BP329" s="106"/>
      <c r="BQ329" s="106"/>
      <c r="BR329" s="106"/>
      <c r="BS329" s="106"/>
      <c r="BT329" s="106"/>
      <c r="BU329" s="106"/>
    </row>
    <row r="330" spans="15:73"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  <c r="AZ330" s="106"/>
      <c r="BA330" s="106"/>
      <c r="BB330" s="106"/>
      <c r="BC330" s="106"/>
      <c r="BD330" s="106"/>
      <c r="BE330" s="106"/>
      <c r="BF330" s="106"/>
      <c r="BG330" s="106"/>
      <c r="BH330" s="106"/>
      <c r="BI330" s="106"/>
      <c r="BJ330" s="106"/>
      <c r="BK330" s="106"/>
      <c r="BL330" s="106"/>
      <c r="BM330" s="106"/>
      <c r="BN330" s="106"/>
      <c r="BO330" s="106"/>
      <c r="BP330" s="106"/>
      <c r="BQ330" s="106"/>
      <c r="BR330" s="106"/>
      <c r="BS330" s="106"/>
      <c r="BT330" s="106"/>
      <c r="BU330" s="106"/>
    </row>
    <row r="331" spans="15:73"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  <c r="AV331" s="106"/>
      <c r="AW331" s="106"/>
      <c r="AX331" s="106"/>
      <c r="AY331" s="106"/>
      <c r="AZ331" s="106"/>
      <c r="BA331" s="106"/>
      <c r="BB331" s="106"/>
      <c r="BC331" s="106"/>
      <c r="BD331" s="106"/>
      <c r="BE331" s="106"/>
      <c r="BF331" s="106"/>
      <c r="BG331" s="106"/>
      <c r="BH331" s="106"/>
      <c r="BI331" s="106"/>
      <c r="BJ331" s="106"/>
      <c r="BK331" s="106"/>
      <c r="BL331" s="106"/>
      <c r="BM331" s="106"/>
      <c r="BN331" s="106"/>
      <c r="BO331" s="106"/>
      <c r="BP331" s="106"/>
      <c r="BQ331" s="106"/>
      <c r="BR331" s="106"/>
      <c r="BS331" s="106"/>
      <c r="BT331" s="106"/>
      <c r="BU331" s="106"/>
    </row>
    <row r="332" spans="15:73"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</row>
    <row r="333" spans="15:73"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  <c r="AV333" s="106"/>
      <c r="AW333" s="106"/>
      <c r="AX333" s="106"/>
      <c r="AY333" s="106"/>
      <c r="AZ333" s="106"/>
      <c r="BA333" s="106"/>
      <c r="BB333" s="106"/>
      <c r="BC333" s="106"/>
      <c r="BD333" s="106"/>
      <c r="BE333" s="106"/>
      <c r="BF333" s="106"/>
      <c r="BG333" s="106"/>
      <c r="BH333" s="106"/>
      <c r="BI333" s="106"/>
      <c r="BJ333" s="106"/>
      <c r="BK333" s="106"/>
      <c r="BL333" s="106"/>
      <c r="BM333" s="106"/>
      <c r="BN333" s="106"/>
      <c r="BO333" s="106"/>
      <c r="BP333" s="106"/>
      <c r="BQ333" s="106"/>
      <c r="BR333" s="106"/>
      <c r="BS333" s="106"/>
      <c r="BT333" s="106"/>
      <c r="BU333" s="106"/>
    </row>
    <row r="334" spans="15:73"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  <c r="AV334" s="106"/>
      <c r="AW334" s="106"/>
      <c r="AX334" s="106"/>
      <c r="AY334" s="106"/>
      <c r="AZ334" s="106"/>
      <c r="BA334" s="106"/>
      <c r="BB334" s="106"/>
      <c r="BC334" s="106"/>
      <c r="BD334" s="106"/>
      <c r="BE334" s="106"/>
      <c r="BF334" s="106"/>
      <c r="BG334" s="106"/>
      <c r="BH334" s="106"/>
      <c r="BI334" s="106"/>
      <c r="BJ334" s="106"/>
      <c r="BK334" s="106"/>
      <c r="BL334" s="106"/>
      <c r="BM334" s="106"/>
      <c r="BN334" s="106"/>
      <c r="BO334" s="106"/>
      <c r="BP334" s="106"/>
      <c r="BQ334" s="106"/>
      <c r="BR334" s="106"/>
      <c r="BS334" s="106"/>
      <c r="BT334" s="106"/>
      <c r="BU334" s="106"/>
    </row>
    <row r="335" spans="15:73"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  <c r="AZ335" s="106"/>
      <c r="BA335" s="106"/>
      <c r="BB335" s="106"/>
      <c r="BC335" s="106"/>
      <c r="BD335" s="106"/>
      <c r="BE335" s="106"/>
      <c r="BF335" s="106"/>
      <c r="BG335" s="106"/>
      <c r="BH335" s="106"/>
      <c r="BI335" s="106"/>
      <c r="BJ335" s="106"/>
      <c r="BK335" s="106"/>
      <c r="BL335" s="106"/>
      <c r="BM335" s="106"/>
      <c r="BN335" s="106"/>
      <c r="BO335" s="106"/>
      <c r="BP335" s="106"/>
      <c r="BQ335" s="106"/>
      <c r="BR335" s="106"/>
      <c r="BS335" s="106"/>
      <c r="BT335" s="106"/>
      <c r="BU335" s="106"/>
    </row>
    <row r="336" spans="15:73"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  <c r="AV336" s="106"/>
      <c r="AW336" s="106"/>
      <c r="AX336" s="106"/>
      <c r="AY336" s="106"/>
      <c r="AZ336" s="106"/>
      <c r="BA336" s="106"/>
      <c r="BB336" s="106"/>
      <c r="BC336" s="106"/>
      <c r="BD336" s="106"/>
      <c r="BE336" s="106"/>
      <c r="BF336" s="106"/>
      <c r="BG336" s="106"/>
      <c r="BH336" s="106"/>
      <c r="BI336" s="106"/>
      <c r="BJ336" s="106"/>
      <c r="BK336" s="106"/>
      <c r="BL336" s="106"/>
      <c r="BM336" s="106"/>
      <c r="BN336" s="106"/>
      <c r="BO336" s="106"/>
      <c r="BP336" s="106"/>
      <c r="BQ336" s="106"/>
      <c r="BR336" s="106"/>
      <c r="BS336" s="106"/>
      <c r="BT336" s="106"/>
      <c r="BU336" s="106"/>
    </row>
    <row r="337" spans="15:73"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  <c r="AV337" s="106"/>
      <c r="AW337" s="106"/>
      <c r="AX337" s="106"/>
      <c r="AY337" s="106"/>
      <c r="AZ337" s="106"/>
      <c r="BA337" s="106"/>
      <c r="BB337" s="106"/>
      <c r="BC337" s="106"/>
      <c r="BD337" s="106"/>
      <c r="BE337" s="106"/>
      <c r="BF337" s="106"/>
      <c r="BG337" s="106"/>
      <c r="BH337" s="106"/>
      <c r="BI337" s="106"/>
      <c r="BJ337" s="106"/>
      <c r="BK337" s="106"/>
      <c r="BL337" s="106"/>
      <c r="BM337" s="106"/>
      <c r="BN337" s="106"/>
      <c r="BO337" s="106"/>
      <c r="BP337" s="106"/>
      <c r="BQ337" s="106"/>
      <c r="BR337" s="106"/>
      <c r="BS337" s="106"/>
      <c r="BT337" s="106"/>
      <c r="BU337" s="106"/>
    </row>
    <row r="338" spans="15:73"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  <c r="AV338" s="106"/>
      <c r="AW338" s="106"/>
      <c r="AX338" s="106"/>
      <c r="AY338" s="106"/>
      <c r="AZ338" s="106"/>
      <c r="BA338" s="106"/>
      <c r="BB338" s="106"/>
      <c r="BC338" s="106"/>
      <c r="BD338" s="106"/>
      <c r="BE338" s="106"/>
      <c r="BF338" s="106"/>
      <c r="BG338" s="106"/>
      <c r="BH338" s="106"/>
      <c r="BI338" s="106"/>
      <c r="BJ338" s="106"/>
      <c r="BK338" s="106"/>
      <c r="BL338" s="106"/>
      <c r="BM338" s="106"/>
      <c r="BN338" s="106"/>
      <c r="BO338" s="106"/>
      <c r="BP338" s="106"/>
      <c r="BQ338" s="106"/>
      <c r="BR338" s="106"/>
      <c r="BS338" s="106"/>
      <c r="BT338" s="106"/>
      <c r="BU338" s="106"/>
    </row>
    <row r="339" spans="15:73"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  <c r="AV339" s="106"/>
      <c r="AW339" s="106"/>
      <c r="AX339" s="106"/>
      <c r="AY339" s="106"/>
      <c r="AZ339" s="106"/>
      <c r="BA339" s="106"/>
      <c r="BB339" s="106"/>
      <c r="BC339" s="106"/>
      <c r="BD339" s="106"/>
      <c r="BE339" s="106"/>
      <c r="BF339" s="106"/>
      <c r="BG339" s="106"/>
      <c r="BH339" s="106"/>
      <c r="BI339" s="106"/>
      <c r="BJ339" s="106"/>
      <c r="BK339" s="106"/>
      <c r="BL339" s="106"/>
      <c r="BM339" s="106"/>
      <c r="BN339" s="106"/>
      <c r="BO339" s="106"/>
      <c r="BP339" s="106"/>
      <c r="BQ339" s="106"/>
      <c r="BR339" s="106"/>
      <c r="BS339" s="106"/>
      <c r="BT339" s="106"/>
      <c r="BU339" s="106"/>
    </row>
    <row r="340" spans="15:73"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</row>
    <row r="341" spans="15:73"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  <c r="AZ341" s="106"/>
      <c r="BA341" s="106"/>
      <c r="BB341" s="106"/>
      <c r="BC341" s="106"/>
      <c r="BD341" s="106"/>
      <c r="BE341" s="106"/>
      <c r="BF341" s="106"/>
      <c r="BG341" s="106"/>
      <c r="BH341" s="106"/>
      <c r="BI341" s="106"/>
      <c r="BJ341" s="106"/>
      <c r="BK341" s="106"/>
      <c r="BL341" s="106"/>
      <c r="BM341" s="106"/>
      <c r="BN341" s="106"/>
      <c r="BO341" s="106"/>
      <c r="BP341" s="106"/>
      <c r="BQ341" s="106"/>
      <c r="BR341" s="106"/>
      <c r="BS341" s="106"/>
      <c r="BT341" s="106"/>
      <c r="BU341" s="106"/>
    </row>
    <row r="342" spans="15:73"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  <c r="AV342" s="106"/>
      <c r="AW342" s="106"/>
      <c r="AX342" s="106"/>
      <c r="AY342" s="106"/>
      <c r="AZ342" s="106"/>
      <c r="BA342" s="106"/>
      <c r="BB342" s="106"/>
      <c r="BC342" s="106"/>
      <c r="BD342" s="106"/>
      <c r="BE342" s="106"/>
      <c r="BF342" s="106"/>
      <c r="BG342" s="106"/>
      <c r="BH342" s="106"/>
      <c r="BI342" s="106"/>
      <c r="BJ342" s="106"/>
      <c r="BK342" s="106"/>
      <c r="BL342" s="106"/>
      <c r="BM342" s="106"/>
      <c r="BN342" s="106"/>
      <c r="BO342" s="106"/>
      <c r="BP342" s="106"/>
      <c r="BQ342" s="106"/>
      <c r="BR342" s="106"/>
      <c r="BS342" s="106"/>
      <c r="BT342" s="106"/>
      <c r="BU342" s="106"/>
    </row>
    <row r="343" spans="15:73"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  <c r="AV343" s="106"/>
      <c r="AW343" s="106"/>
      <c r="AX343" s="106"/>
      <c r="AY343" s="106"/>
      <c r="AZ343" s="106"/>
      <c r="BA343" s="106"/>
      <c r="BB343" s="106"/>
      <c r="BC343" s="106"/>
      <c r="BD343" s="106"/>
      <c r="BE343" s="106"/>
      <c r="BF343" s="106"/>
      <c r="BG343" s="106"/>
      <c r="BH343" s="106"/>
      <c r="BI343" s="106"/>
      <c r="BJ343" s="106"/>
      <c r="BK343" s="106"/>
      <c r="BL343" s="106"/>
      <c r="BM343" s="106"/>
      <c r="BN343" s="106"/>
      <c r="BO343" s="106"/>
      <c r="BP343" s="106"/>
      <c r="BQ343" s="106"/>
      <c r="BR343" s="106"/>
      <c r="BS343" s="106"/>
      <c r="BT343" s="106"/>
      <c r="BU343" s="106"/>
    </row>
    <row r="344" spans="15:73"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  <c r="AV344" s="106"/>
      <c r="AW344" s="106"/>
      <c r="AX344" s="106"/>
      <c r="AY344" s="106"/>
      <c r="AZ344" s="106"/>
      <c r="BA344" s="106"/>
      <c r="BB344" s="106"/>
      <c r="BC344" s="106"/>
      <c r="BD344" s="106"/>
      <c r="BE344" s="106"/>
      <c r="BF344" s="106"/>
      <c r="BG344" s="106"/>
      <c r="BH344" s="106"/>
      <c r="BI344" s="106"/>
      <c r="BJ344" s="106"/>
      <c r="BK344" s="106"/>
      <c r="BL344" s="106"/>
      <c r="BM344" s="106"/>
      <c r="BN344" s="106"/>
      <c r="BO344" s="106"/>
      <c r="BP344" s="106"/>
      <c r="BQ344" s="106"/>
      <c r="BR344" s="106"/>
      <c r="BS344" s="106"/>
      <c r="BT344" s="106"/>
      <c r="BU344" s="106"/>
    </row>
    <row r="345" spans="15:73"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6"/>
      <c r="BR345" s="106"/>
      <c r="BS345" s="106"/>
      <c r="BT345" s="106"/>
      <c r="BU345" s="106"/>
    </row>
    <row r="346" spans="15:73"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  <c r="AV346" s="106"/>
      <c r="AW346" s="106"/>
      <c r="AX346" s="106"/>
      <c r="AY346" s="106"/>
      <c r="AZ346" s="106"/>
      <c r="BA346" s="106"/>
      <c r="BB346" s="106"/>
      <c r="BC346" s="106"/>
      <c r="BD346" s="106"/>
      <c r="BE346" s="106"/>
      <c r="BF346" s="106"/>
      <c r="BG346" s="106"/>
      <c r="BH346" s="106"/>
      <c r="BI346" s="106"/>
      <c r="BJ346" s="106"/>
      <c r="BK346" s="106"/>
      <c r="BL346" s="106"/>
      <c r="BM346" s="106"/>
      <c r="BN346" s="106"/>
      <c r="BO346" s="106"/>
      <c r="BP346" s="106"/>
      <c r="BQ346" s="106"/>
      <c r="BR346" s="106"/>
      <c r="BS346" s="106"/>
      <c r="BT346" s="106"/>
      <c r="BU346" s="106"/>
    </row>
    <row r="347" spans="15:73"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</row>
    <row r="348" spans="15:73"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  <c r="AV348" s="106"/>
      <c r="AW348" s="106"/>
      <c r="AX348" s="106"/>
      <c r="AY348" s="106"/>
      <c r="AZ348" s="106"/>
      <c r="BA348" s="106"/>
      <c r="BB348" s="106"/>
      <c r="BC348" s="106"/>
      <c r="BD348" s="106"/>
      <c r="BE348" s="106"/>
      <c r="BF348" s="106"/>
      <c r="BG348" s="106"/>
      <c r="BH348" s="106"/>
      <c r="BI348" s="106"/>
      <c r="BJ348" s="106"/>
      <c r="BK348" s="106"/>
      <c r="BL348" s="106"/>
      <c r="BM348" s="106"/>
      <c r="BN348" s="106"/>
      <c r="BO348" s="106"/>
      <c r="BP348" s="106"/>
      <c r="BQ348" s="106"/>
      <c r="BR348" s="106"/>
      <c r="BS348" s="106"/>
      <c r="BT348" s="106"/>
      <c r="BU348" s="106"/>
    </row>
    <row r="349" spans="15:73"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  <c r="AZ349" s="106"/>
      <c r="BA349" s="106"/>
      <c r="BB349" s="106"/>
      <c r="BC349" s="106"/>
      <c r="BD349" s="106"/>
      <c r="BE349" s="106"/>
      <c r="BF349" s="106"/>
      <c r="BG349" s="106"/>
      <c r="BH349" s="106"/>
      <c r="BI349" s="106"/>
      <c r="BJ349" s="106"/>
      <c r="BK349" s="106"/>
      <c r="BL349" s="106"/>
      <c r="BM349" s="106"/>
      <c r="BN349" s="106"/>
      <c r="BO349" s="106"/>
      <c r="BP349" s="106"/>
      <c r="BQ349" s="106"/>
      <c r="BR349" s="106"/>
      <c r="BS349" s="106"/>
      <c r="BT349" s="106"/>
      <c r="BU349" s="106"/>
    </row>
    <row r="350" spans="15:73"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  <c r="AZ350" s="106"/>
      <c r="BA350" s="106"/>
      <c r="BB350" s="106"/>
      <c r="BC350" s="106"/>
      <c r="BD350" s="106"/>
      <c r="BE350" s="106"/>
      <c r="BF350" s="106"/>
      <c r="BG350" s="106"/>
      <c r="BH350" s="106"/>
      <c r="BI350" s="106"/>
      <c r="BJ350" s="106"/>
      <c r="BK350" s="106"/>
      <c r="BL350" s="106"/>
      <c r="BM350" s="106"/>
      <c r="BN350" s="106"/>
      <c r="BO350" s="106"/>
      <c r="BP350" s="106"/>
      <c r="BQ350" s="106"/>
      <c r="BR350" s="106"/>
      <c r="BS350" s="106"/>
      <c r="BT350" s="106"/>
      <c r="BU350" s="106"/>
    </row>
    <row r="351" spans="15:73"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  <c r="BE351" s="106"/>
      <c r="BF351" s="106"/>
      <c r="BG351" s="106"/>
      <c r="BH351" s="106"/>
      <c r="BI351" s="106"/>
      <c r="BJ351" s="106"/>
      <c r="BK351" s="106"/>
      <c r="BL351" s="106"/>
      <c r="BM351" s="106"/>
      <c r="BN351" s="106"/>
      <c r="BO351" s="106"/>
      <c r="BP351" s="106"/>
      <c r="BQ351" s="106"/>
      <c r="BR351" s="106"/>
      <c r="BS351" s="106"/>
      <c r="BT351" s="106"/>
      <c r="BU351" s="106"/>
    </row>
    <row r="352" spans="15:73"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6"/>
      <c r="BR352" s="106"/>
      <c r="BS352" s="106"/>
      <c r="BT352" s="106"/>
      <c r="BU352" s="106"/>
    </row>
    <row r="353" spans="15:73"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  <c r="AZ353" s="106"/>
      <c r="BA353" s="106"/>
      <c r="BB353" s="106"/>
      <c r="BC353" s="106"/>
      <c r="BD353" s="106"/>
      <c r="BE353" s="106"/>
      <c r="BF353" s="106"/>
      <c r="BG353" s="106"/>
      <c r="BH353" s="106"/>
      <c r="BI353" s="106"/>
      <c r="BJ353" s="106"/>
      <c r="BK353" s="106"/>
      <c r="BL353" s="106"/>
      <c r="BM353" s="106"/>
      <c r="BN353" s="106"/>
      <c r="BO353" s="106"/>
      <c r="BP353" s="106"/>
      <c r="BQ353" s="106"/>
      <c r="BR353" s="106"/>
      <c r="BS353" s="106"/>
      <c r="BT353" s="106"/>
      <c r="BU353" s="106"/>
    </row>
    <row r="354" spans="15:73"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</row>
    <row r="355" spans="15:73"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  <c r="AZ355" s="106"/>
      <c r="BA355" s="106"/>
      <c r="BB355" s="106"/>
      <c r="BC355" s="106"/>
      <c r="BD355" s="106"/>
      <c r="BE355" s="106"/>
      <c r="BF355" s="106"/>
      <c r="BG355" s="106"/>
      <c r="BH355" s="106"/>
      <c r="BI355" s="106"/>
      <c r="BJ355" s="106"/>
      <c r="BK355" s="106"/>
      <c r="BL355" s="106"/>
      <c r="BM355" s="106"/>
      <c r="BN355" s="106"/>
      <c r="BO355" s="106"/>
      <c r="BP355" s="106"/>
      <c r="BQ355" s="106"/>
      <c r="BR355" s="106"/>
      <c r="BS355" s="106"/>
      <c r="BT355" s="106"/>
      <c r="BU355" s="106"/>
    </row>
    <row r="356" spans="15:73"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6"/>
      <c r="BI356" s="106"/>
      <c r="BJ356" s="106"/>
      <c r="BK356" s="106"/>
      <c r="BL356" s="106"/>
      <c r="BM356" s="106"/>
      <c r="BN356" s="106"/>
      <c r="BO356" s="106"/>
      <c r="BP356" s="106"/>
      <c r="BQ356" s="106"/>
      <c r="BR356" s="106"/>
      <c r="BS356" s="106"/>
      <c r="BT356" s="106"/>
      <c r="BU356" s="106"/>
    </row>
    <row r="357" spans="15:73"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  <c r="AZ357" s="106"/>
      <c r="BA357" s="106"/>
      <c r="BB357" s="106"/>
      <c r="BC357" s="106"/>
      <c r="BD357" s="106"/>
      <c r="BE357" s="106"/>
      <c r="BF357" s="106"/>
      <c r="BG357" s="106"/>
      <c r="BH357" s="106"/>
      <c r="BI357" s="106"/>
      <c r="BJ357" s="106"/>
      <c r="BK357" s="106"/>
      <c r="BL357" s="106"/>
      <c r="BM357" s="106"/>
      <c r="BN357" s="106"/>
      <c r="BO357" s="106"/>
      <c r="BP357" s="106"/>
      <c r="BQ357" s="106"/>
      <c r="BR357" s="106"/>
      <c r="BS357" s="106"/>
      <c r="BT357" s="106"/>
      <c r="BU357" s="106"/>
    </row>
    <row r="358" spans="15:73"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6"/>
      <c r="BI358" s="106"/>
      <c r="BJ358" s="106"/>
      <c r="BK358" s="106"/>
      <c r="BL358" s="106"/>
      <c r="BM358" s="106"/>
      <c r="BN358" s="106"/>
      <c r="BO358" s="106"/>
      <c r="BP358" s="106"/>
      <c r="BQ358" s="106"/>
      <c r="BR358" s="106"/>
      <c r="BS358" s="106"/>
      <c r="BT358" s="106"/>
      <c r="BU358" s="106"/>
    </row>
    <row r="359" spans="15:73"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  <c r="AZ359" s="106"/>
      <c r="BA359" s="106"/>
      <c r="BB359" s="106"/>
      <c r="BC359" s="106"/>
      <c r="BD359" s="106"/>
      <c r="BE359" s="106"/>
      <c r="BF359" s="106"/>
      <c r="BG359" s="106"/>
      <c r="BH359" s="106"/>
      <c r="BI359" s="106"/>
      <c r="BJ359" s="106"/>
      <c r="BK359" s="106"/>
      <c r="BL359" s="106"/>
      <c r="BM359" s="106"/>
      <c r="BN359" s="106"/>
      <c r="BO359" s="106"/>
      <c r="BP359" s="106"/>
      <c r="BQ359" s="106"/>
      <c r="BR359" s="106"/>
      <c r="BS359" s="106"/>
      <c r="BT359" s="106"/>
      <c r="BU359" s="106"/>
    </row>
    <row r="360" spans="15:73"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106"/>
      <c r="BA360" s="106"/>
      <c r="BB360" s="106"/>
      <c r="BC360" s="106"/>
      <c r="BD360" s="106"/>
      <c r="BE360" s="106"/>
      <c r="BF360" s="106"/>
      <c r="BG360" s="106"/>
      <c r="BH360" s="106"/>
      <c r="BI360" s="106"/>
      <c r="BJ360" s="106"/>
      <c r="BK360" s="106"/>
      <c r="BL360" s="106"/>
      <c r="BM360" s="106"/>
      <c r="BN360" s="106"/>
      <c r="BO360" s="106"/>
      <c r="BP360" s="106"/>
      <c r="BQ360" s="106"/>
      <c r="BR360" s="106"/>
      <c r="BS360" s="106"/>
      <c r="BT360" s="106"/>
      <c r="BU360" s="106"/>
    </row>
    <row r="361" spans="15:73"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</row>
    <row r="362" spans="15:73"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  <c r="AZ362" s="106"/>
      <c r="BA362" s="106"/>
      <c r="BB362" s="106"/>
      <c r="BC362" s="106"/>
      <c r="BD362" s="106"/>
      <c r="BE362" s="106"/>
      <c r="BF362" s="106"/>
      <c r="BG362" s="106"/>
      <c r="BH362" s="106"/>
      <c r="BI362" s="106"/>
      <c r="BJ362" s="106"/>
      <c r="BK362" s="106"/>
      <c r="BL362" s="106"/>
      <c r="BM362" s="106"/>
      <c r="BN362" s="106"/>
      <c r="BO362" s="106"/>
      <c r="BP362" s="106"/>
      <c r="BQ362" s="106"/>
      <c r="BR362" s="106"/>
      <c r="BS362" s="106"/>
      <c r="BT362" s="106"/>
      <c r="BU362" s="106"/>
    </row>
    <row r="363" spans="15:73"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6"/>
      <c r="BI363" s="106"/>
      <c r="BJ363" s="106"/>
      <c r="BK363" s="106"/>
      <c r="BL363" s="106"/>
      <c r="BM363" s="106"/>
      <c r="BN363" s="106"/>
      <c r="BO363" s="106"/>
      <c r="BP363" s="106"/>
      <c r="BQ363" s="106"/>
      <c r="BR363" s="106"/>
      <c r="BS363" s="106"/>
      <c r="BT363" s="106"/>
      <c r="BU363" s="106"/>
    </row>
    <row r="364" spans="15:73"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6"/>
      <c r="BI364" s="106"/>
      <c r="BJ364" s="106"/>
      <c r="BK364" s="106"/>
      <c r="BL364" s="106"/>
      <c r="BM364" s="106"/>
      <c r="BN364" s="106"/>
      <c r="BO364" s="106"/>
      <c r="BP364" s="106"/>
      <c r="BQ364" s="106"/>
      <c r="BR364" s="106"/>
      <c r="BS364" s="106"/>
      <c r="BT364" s="106"/>
      <c r="BU364" s="106"/>
    </row>
    <row r="365" spans="15:73"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6"/>
      <c r="BI365" s="106"/>
      <c r="BJ365" s="106"/>
      <c r="BK365" s="106"/>
      <c r="BL365" s="106"/>
      <c r="BM365" s="106"/>
      <c r="BN365" s="106"/>
      <c r="BO365" s="106"/>
      <c r="BP365" s="106"/>
      <c r="BQ365" s="106"/>
      <c r="BR365" s="106"/>
      <c r="BS365" s="106"/>
      <c r="BT365" s="106"/>
      <c r="BU365" s="106"/>
    </row>
    <row r="366" spans="15:73"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6"/>
      <c r="BI366" s="106"/>
      <c r="BJ366" s="106"/>
      <c r="BK366" s="106"/>
      <c r="BL366" s="106"/>
      <c r="BM366" s="106"/>
      <c r="BN366" s="106"/>
      <c r="BO366" s="106"/>
      <c r="BP366" s="106"/>
      <c r="BQ366" s="106"/>
      <c r="BR366" s="106"/>
      <c r="BS366" s="106"/>
      <c r="BT366" s="106"/>
      <c r="BU366" s="106"/>
    </row>
    <row r="367" spans="15:73"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6"/>
      <c r="BI367" s="106"/>
      <c r="BJ367" s="106"/>
      <c r="BK367" s="106"/>
      <c r="BL367" s="106"/>
      <c r="BM367" s="106"/>
      <c r="BN367" s="106"/>
      <c r="BO367" s="106"/>
      <c r="BP367" s="106"/>
      <c r="BQ367" s="106"/>
      <c r="BR367" s="106"/>
      <c r="BS367" s="106"/>
      <c r="BT367" s="106"/>
      <c r="BU367" s="106"/>
    </row>
    <row r="368" spans="15:73"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6"/>
      <c r="BI368" s="106"/>
      <c r="BJ368" s="106"/>
      <c r="BK368" s="106"/>
      <c r="BL368" s="106"/>
      <c r="BM368" s="106"/>
      <c r="BN368" s="106"/>
      <c r="BO368" s="106"/>
      <c r="BP368" s="106"/>
      <c r="BQ368" s="106"/>
      <c r="BR368" s="106"/>
      <c r="BS368" s="106"/>
      <c r="BT368" s="106"/>
      <c r="BU368" s="106"/>
    </row>
    <row r="369" spans="15:73"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</row>
    <row r="370" spans="15:73"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6"/>
      <c r="BI370" s="106"/>
      <c r="BJ370" s="106"/>
      <c r="BK370" s="106"/>
      <c r="BL370" s="106"/>
      <c r="BM370" s="106"/>
      <c r="BN370" s="106"/>
      <c r="BO370" s="106"/>
      <c r="BP370" s="106"/>
      <c r="BQ370" s="106"/>
      <c r="BR370" s="106"/>
      <c r="BS370" s="106"/>
      <c r="BT370" s="106"/>
      <c r="BU370" s="106"/>
    </row>
    <row r="371" spans="15:73"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6"/>
      <c r="BI371" s="106"/>
      <c r="BJ371" s="106"/>
      <c r="BK371" s="106"/>
      <c r="BL371" s="106"/>
      <c r="BM371" s="106"/>
      <c r="BN371" s="106"/>
      <c r="BO371" s="106"/>
      <c r="BP371" s="106"/>
      <c r="BQ371" s="106"/>
      <c r="BR371" s="106"/>
      <c r="BS371" s="106"/>
      <c r="BT371" s="106"/>
      <c r="BU371" s="106"/>
    </row>
    <row r="372" spans="15:73"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6"/>
      <c r="BI372" s="106"/>
      <c r="BJ372" s="106"/>
      <c r="BK372" s="106"/>
      <c r="BL372" s="106"/>
      <c r="BM372" s="106"/>
      <c r="BN372" s="106"/>
      <c r="BO372" s="106"/>
      <c r="BP372" s="106"/>
      <c r="BQ372" s="106"/>
      <c r="BR372" s="106"/>
      <c r="BS372" s="106"/>
      <c r="BT372" s="106"/>
      <c r="BU372" s="106"/>
    </row>
    <row r="373" spans="15:73"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6"/>
      <c r="BI373" s="106"/>
      <c r="BJ373" s="106"/>
      <c r="BK373" s="106"/>
      <c r="BL373" s="106"/>
      <c r="BM373" s="106"/>
      <c r="BN373" s="106"/>
      <c r="BO373" s="106"/>
      <c r="BP373" s="106"/>
      <c r="BQ373" s="106"/>
      <c r="BR373" s="106"/>
      <c r="BS373" s="106"/>
      <c r="BT373" s="106"/>
      <c r="BU373" s="106"/>
    </row>
    <row r="374" spans="15:73"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6"/>
      <c r="BI374" s="106"/>
      <c r="BJ374" s="106"/>
      <c r="BK374" s="106"/>
      <c r="BL374" s="106"/>
      <c r="BM374" s="106"/>
      <c r="BN374" s="106"/>
      <c r="BO374" s="106"/>
      <c r="BP374" s="106"/>
      <c r="BQ374" s="106"/>
      <c r="BR374" s="106"/>
      <c r="BS374" s="106"/>
      <c r="BT374" s="106"/>
      <c r="BU374" s="106"/>
    </row>
    <row r="375" spans="15:73"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6"/>
      <c r="BI375" s="106"/>
      <c r="BJ375" s="106"/>
      <c r="BK375" s="106"/>
      <c r="BL375" s="106"/>
      <c r="BM375" s="106"/>
      <c r="BN375" s="106"/>
      <c r="BO375" s="106"/>
      <c r="BP375" s="106"/>
      <c r="BQ375" s="106"/>
      <c r="BR375" s="106"/>
      <c r="BS375" s="106"/>
      <c r="BT375" s="106"/>
      <c r="BU375" s="106"/>
    </row>
    <row r="376" spans="15:73"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6"/>
      <c r="BI376" s="106"/>
      <c r="BJ376" s="106"/>
      <c r="BK376" s="106"/>
      <c r="BL376" s="106"/>
      <c r="BM376" s="106"/>
      <c r="BN376" s="106"/>
      <c r="BO376" s="106"/>
      <c r="BP376" s="106"/>
      <c r="BQ376" s="106"/>
      <c r="BR376" s="106"/>
      <c r="BS376" s="106"/>
      <c r="BT376" s="106"/>
      <c r="BU376" s="106"/>
    </row>
    <row r="377" spans="15:73"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</row>
    <row r="378" spans="15:73"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6"/>
      <c r="BI378" s="106"/>
      <c r="BJ378" s="106"/>
      <c r="BK378" s="106"/>
      <c r="BL378" s="106"/>
      <c r="BM378" s="106"/>
      <c r="BN378" s="106"/>
      <c r="BO378" s="106"/>
      <c r="BP378" s="106"/>
      <c r="BQ378" s="106"/>
      <c r="BR378" s="106"/>
      <c r="BS378" s="106"/>
      <c r="BT378" s="106"/>
      <c r="BU378" s="106"/>
    </row>
    <row r="379" spans="15:73"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6"/>
      <c r="BI379" s="106"/>
      <c r="BJ379" s="106"/>
      <c r="BK379" s="106"/>
      <c r="BL379" s="106"/>
      <c r="BM379" s="106"/>
      <c r="BN379" s="106"/>
      <c r="BO379" s="106"/>
      <c r="BP379" s="106"/>
      <c r="BQ379" s="106"/>
      <c r="BR379" s="106"/>
      <c r="BS379" s="106"/>
      <c r="BT379" s="106"/>
      <c r="BU379" s="106"/>
    </row>
    <row r="380" spans="15:73"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6"/>
      <c r="BI380" s="106"/>
      <c r="BJ380" s="106"/>
      <c r="BK380" s="106"/>
      <c r="BL380" s="106"/>
      <c r="BM380" s="106"/>
      <c r="BN380" s="106"/>
      <c r="BO380" s="106"/>
      <c r="BP380" s="106"/>
      <c r="BQ380" s="106"/>
      <c r="BR380" s="106"/>
      <c r="BS380" s="106"/>
      <c r="BT380" s="106"/>
      <c r="BU380" s="106"/>
    </row>
    <row r="381" spans="15:73"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6"/>
      <c r="BI381" s="106"/>
      <c r="BJ381" s="106"/>
      <c r="BK381" s="106"/>
      <c r="BL381" s="106"/>
      <c r="BM381" s="106"/>
      <c r="BN381" s="106"/>
      <c r="BO381" s="106"/>
      <c r="BP381" s="106"/>
      <c r="BQ381" s="106"/>
      <c r="BR381" s="106"/>
      <c r="BS381" s="106"/>
      <c r="BT381" s="106"/>
      <c r="BU381" s="106"/>
    </row>
    <row r="382" spans="15:73"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  <c r="BE382" s="106"/>
      <c r="BF382" s="106"/>
      <c r="BG382" s="106"/>
      <c r="BH382" s="106"/>
      <c r="BI382" s="106"/>
      <c r="BJ382" s="106"/>
      <c r="BK382" s="106"/>
      <c r="BL382" s="106"/>
      <c r="BM382" s="106"/>
      <c r="BN382" s="106"/>
      <c r="BO382" s="106"/>
      <c r="BP382" s="106"/>
      <c r="BQ382" s="106"/>
      <c r="BR382" s="106"/>
      <c r="BS382" s="106"/>
      <c r="BT382" s="106"/>
      <c r="BU382" s="106"/>
    </row>
    <row r="383" spans="15:73"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  <c r="AZ383" s="106"/>
      <c r="BA383" s="106"/>
      <c r="BB383" s="106"/>
      <c r="BC383" s="106"/>
      <c r="BD383" s="106"/>
      <c r="BE383" s="106"/>
      <c r="BF383" s="106"/>
      <c r="BG383" s="106"/>
      <c r="BH383" s="106"/>
      <c r="BI383" s="106"/>
      <c r="BJ383" s="106"/>
      <c r="BK383" s="106"/>
      <c r="BL383" s="106"/>
      <c r="BM383" s="106"/>
      <c r="BN383" s="106"/>
      <c r="BO383" s="106"/>
      <c r="BP383" s="106"/>
      <c r="BQ383" s="106"/>
      <c r="BR383" s="106"/>
      <c r="BS383" s="106"/>
      <c r="BT383" s="106"/>
      <c r="BU383" s="106"/>
    </row>
    <row r="384" spans="15:73"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</row>
    <row r="385" spans="15:73"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  <c r="AZ385" s="106"/>
      <c r="BA385" s="106"/>
      <c r="BB385" s="106"/>
      <c r="BC385" s="106"/>
      <c r="BD385" s="106"/>
      <c r="BE385" s="106"/>
      <c r="BF385" s="106"/>
      <c r="BG385" s="106"/>
      <c r="BH385" s="106"/>
      <c r="BI385" s="106"/>
      <c r="BJ385" s="106"/>
      <c r="BK385" s="106"/>
      <c r="BL385" s="106"/>
      <c r="BM385" s="106"/>
      <c r="BN385" s="106"/>
      <c r="BO385" s="106"/>
      <c r="BP385" s="106"/>
      <c r="BQ385" s="106"/>
      <c r="BR385" s="106"/>
      <c r="BS385" s="106"/>
      <c r="BT385" s="106"/>
      <c r="BU385" s="106"/>
    </row>
    <row r="386" spans="15:73"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  <c r="AZ386" s="106"/>
      <c r="BA386" s="106"/>
      <c r="BB386" s="106"/>
      <c r="BC386" s="106"/>
      <c r="BD386" s="106"/>
      <c r="BE386" s="106"/>
      <c r="BF386" s="106"/>
      <c r="BG386" s="106"/>
      <c r="BH386" s="106"/>
      <c r="BI386" s="106"/>
      <c r="BJ386" s="106"/>
      <c r="BK386" s="106"/>
      <c r="BL386" s="106"/>
      <c r="BM386" s="106"/>
      <c r="BN386" s="106"/>
      <c r="BO386" s="106"/>
      <c r="BP386" s="106"/>
      <c r="BQ386" s="106"/>
      <c r="BR386" s="106"/>
      <c r="BS386" s="106"/>
      <c r="BT386" s="106"/>
      <c r="BU386" s="106"/>
    </row>
    <row r="387" spans="15:73"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  <c r="AZ387" s="106"/>
      <c r="BA387" s="106"/>
      <c r="BB387" s="106"/>
      <c r="BC387" s="106"/>
      <c r="BD387" s="106"/>
      <c r="BE387" s="106"/>
      <c r="BF387" s="106"/>
      <c r="BG387" s="106"/>
      <c r="BH387" s="106"/>
      <c r="BI387" s="106"/>
      <c r="BJ387" s="106"/>
      <c r="BK387" s="106"/>
      <c r="BL387" s="106"/>
      <c r="BM387" s="106"/>
      <c r="BN387" s="106"/>
      <c r="BO387" s="106"/>
      <c r="BP387" s="106"/>
      <c r="BQ387" s="106"/>
      <c r="BR387" s="106"/>
      <c r="BS387" s="106"/>
      <c r="BT387" s="106"/>
      <c r="BU387" s="106"/>
    </row>
    <row r="388" spans="15:73"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  <c r="BE388" s="106"/>
      <c r="BF388" s="106"/>
      <c r="BG388" s="106"/>
      <c r="BH388" s="106"/>
      <c r="BI388" s="106"/>
      <c r="BJ388" s="106"/>
      <c r="BK388" s="106"/>
      <c r="BL388" s="106"/>
      <c r="BM388" s="106"/>
      <c r="BN388" s="106"/>
      <c r="BO388" s="106"/>
      <c r="BP388" s="106"/>
      <c r="BQ388" s="106"/>
      <c r="BR388" s="106"/>
      <c r="BS388" s="106"/>
      <c r="BT388" s="106"/>
      <c r="BU388" s="106"/>
    </row>
    <row r="389" spans="15:73"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  <c r="AZ389" s="106"/>
      <c r="BA389" s="106"/>
      <c r="BB389" s="106"/>
      <c r="BC389" s="106"/>
      <c r="BD389" s="106"/>
      <c r="BE389" s="106"/>
      <c r="BF389" s="106"/>
      <c r="BG389" s="106"/>
      <c r="BH389" s="106"/>
      <c r="BI389" s="106"/>
      <c r="BJ389" s="106"/>
      <c r="BK389" s="106"/>
      <c r="BL389" s="106"/>
      <c r="BM389" s="106"/>
      <c r="BN389" s="106"/>
      <c r="BO389" s="106"/>
      <c r="BP389" s="106"/>
      <c r="BQ389" s="106"/>
      <c r="BR389" s="106"/>
      <c r="BS389" s="106"/>
      <c r="BT389" s="106"/>
      <c r="BU389" s="106"/>
    </row>
    <row r="390" spans="15:73"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6"/>
      <c r="BI390" s="106"/>
      <c r="BJ390" s="106"/>
      <c r="BK390" s="106"/>
      <c r="BL390" s="106"/>
      <c r="BM390" s="106"/>
      <c r="BN390" s="106"/>
      <c r="BO390" s="106"/>
      <c r="BP390" s="106"/>
      <c r="BQ390" s="106"/>
      <c r="BR390" s="106"/>
      <c r="BS390" s="106"/>
      <c r="BT390" s="106"/>
      <c r="BU390" s="106"/>
    </row>
    <row r="391" spans="15:73"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</row>
    <row r="392" spans="15:73"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  <c r="AZ392" s="106"/>
      <c r="BA392" s="106"/>
      <c r="BB392" s="106"/>
      <c r="BC392" s="106"/>
      <c r="BD392" s="106"/>
      <c r="BE392" s="106"/>
      <c r="BF392" s="106"/>
      <c r="BG392" s="106"/>
      <c r="BH392" s="106"/>
      <c r="BI392" s="106"/>
      <c r="BJ392" s="106"/>
      <c r="BK392" s="106"/>
      <c r="BL392" s="106"/>
      <c r="BM392" s="106"/>
      <c r="BN392" s="106"/>
      <c r="BO392" s="106"/>
      <c r="BP392" s="106"/>
      <c r="BQ392" s="106"/>
      <c r="BR392" s="106"/>
      <c r="BS392" s="106"/>
      <c r="BT392" s="106"/>
      <c r="BU392" s="106"/>
    </row>
    <row r="393" spans="15:73"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  <c r="AZ393" s="106"/>
      <c r="BA393" s="106"/>
      <c r="BB393" s="106"/>
      <c r="BC393" s="106"/>
      <c r="BD393" s="106"/>
      <c r="BE393" s="106"/>
      <c r="BF393" s="106"/>
      <c r="BG393" s="106"/>
      <c r="BH393" s="106"/>
      <c r="BI393" s="106"/>
      <c r="BJ393" s="106"/>
      <c r="BK393" s="106"/>
      <c r="BL393" s="106"/>
      <c r="BM393" s="106"/>
      <c r="BN393" s="106"/>
      <c r="BO393" s="106"/>
      <c r="BP393" s="106"/>
      <c r="BQ393" s="106"/>
      <c r="BR393" s="106"/>
      <c r="BS393" s="106"/>
      <c r="BT393" s="106"/>
      <c r="BU393" s="106"/>
    </row>
    <row r="394" spans="15:73"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  <c r="BE394" s="106"/>
      <c r="BF394" s="106"/>
      <c r="BG394" s="106"/>
      <c r="BH394" s="106"/>
      <c r="BI394" s="106"/>
      <c r="BJ394" s="106"/>
      <c r="BK394" s="106"/>
      <c r="BL394" s="106"/>
      <c r="BM394" s="106"/>
      <c r="BN394" s="106"/>
      <c r="BO394" s="106"/>
      <c r="BP394" s="106"/>
      <c r="BQ394" s="106"/>
      <c r="BR394" s="106"/>
      <c r="BS394" s="106"/>
      <c r="BT394" s="106"/>
      <c r="BU394" s="106"/>
    </row>
    <row r="395" spans="15:73"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  <c r="AZ395" s="106"/>
      <c r="BA395" s="106"/>
      <c r="BB395" s="106"/>
      <c r="BC395" s="106"/>
      <c r="BD395" s="106"/>
      <c r="BE395" s="106"/>
      <c r="BF395" s="106"/>
      <c r="BG395" s="106"/>
      <c r="BH395" s="106"/>
      <c r="BI395" s="106"/>
      <c r="BJ395" s="106"/>
      <c r="BK395" s="106"/>
      <c r="BL395" s="106"/>
      <c r="BM395" s="106"/>
      <c r="BN395" s="106"/>
      <c r="BO395" s="106"/>
      <c r="BP395" s="106"/>
      <c r="BQ395" s="106"/>
      <c r="BR395" s="106"/>
      <c r="BS395" s="106"/>
      <c r="BT395" s="106"/>
      <c r="BU395" s="106"/>
    </row>
    <row r="396" spans="15:73"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  <c r="AZ396" s="106"/>
      <c r="BA396" s="106"/>
      <c r="BB396" s="106"/>
      <c r="BC396" s="106"/>
      <c r="BD396" s="106"/>
      <c r="BE396" s="106"/>
      <c r="BF396" s="106"/>
      <c r="BG396" s="106"/>
      <c r="BH396" s="106"/>
      <c r="BI396" s="106"/>
      <c r="BJ396" s="106"/>
      <c r="BK396" s="106"/>
      <c r="BL396" s="106"/>
      <c r="BM396" s="106"/>
      <c r="BN396" s="106"/>
      <c r="BO396" s="106"/>
      <c r="BP396" s="106"/>
      <c r="BQ396" s="106"/>
      <c r="BR396" s="106"/>
      <c r="BS396" s="106"/>
      <c r="BT396" s="106"/>
      <c r="BU396" s="106"/>
    </row>
    <row r="397" spans="15:73"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  <c r="AZ397" s="106"/>
      <c r="BA397" s="106"/>
      <c r="BB397" s="106"/>
      <c r="BC397" s="106"/>
      <c r="BD397" s="106"/>
      <c r="BE397" s="106"/>
      <c r="BF397" s="106"/>
      <c r="BG397" s="106"/>
      <c r="BH397" s="106"/>
      <c r="BI397" s="106"/>
      <c r="BJ397" s="106"/>
      <c r="BK397" s="106"/>
      <c r="BL397" s="106"/>
      <c r="BM397" s="106"/>
      <c r="BN397" s="106"/>
      <c r="BO397" s="106"/>
      <c r="BP397" s="106"/>
      <c r="BQ397" s="106"/>
      <c r="BR397" s="106"/>
      <c r="BS397" s="106"/>
      <c r="BT397" s="106"/>
      <c r="BU397" s="106"/>
    </row>
    <row r="398" spans="15:73"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  <c r="AZ398" s="106"/>
      <c r="BA398" s="106"/>
      <c r="BB398" s="106"/>
      <c r="BC398" s="106"/>
      <c r="BD398" s="106"/>
      <c r="BE398" s="106"/>
      <c r="BF398" s="106"/>
      <c r="BG398" s="106"/>
      <c r="BH398" s="106"/>
      <c r="BI398" s="106"/>
      <c r="BJ398" s="106"/>
      <c r="BK398" s="106"/>
      <c r="BL398" s="106"/>
      <c r="BM398" s="106"/>
      <c r="BN398" s="106"/>
      <c r="BO398" s="106"/>
      <c r="BP398" s="106"/>
      <c r="BQ398" s="106"/>
      <c r="BR398" s="106"/>
      <c r="BS398" s="106"/>
      <c r="BT398" s="106"/>
      <c r="BU398" s="106"/>
    </row>
    <row r="399" spans="15:73"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  <c r="AZ399" s="106"/>
      <c r="BA399" s="106"/>
      <c r="BB399" s="106"/>
      <c r="BC399" s="106"/>
      <c r="BD399" s="106"/>
      <c r="BE399" s="106"/>
      <c r="BF399" s="106"/>
      <c r="BG399" s="106"/>
      <c r="BH399" s="106"/>
      <c r="BI399" s="106"/>
      <c r="BJ399" s="106"/>
      <c r="BK399" s="106"/>
      <c r="BL399" s="106"/>
      <c r="BM399" s="106"/>
      <c r="BN399" s="106"/>
      <c r="BO399" s="106"/>
      <c r="BP399" s="106"/>
      <c r="BQ399" s="106"/>
      <c r="BR399" s="106"/>
      <c r="BS399" s="106"/>
      <c r="BT399" s="106"/>
      <c r="BU399" s="106"/>
    </row>
    <row r="400" spans="15:73"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  <c r="BE400" s="106"/>
      <c r="BF400" s="106"/>
      <c r="BG400" s="106"/>
      <c r="BH400" s="106"/>
      <c r="BI400" s="106"/>
      <c r="BJ400" s="106"/>
      <c r="BK400" s="106"/>
      <c r="BL400" s="106"/>
      <c r="BM400" s="106"/>
      <c r="BN400" s="106"/>
      <c r="BO400" s="106"/>
      <c r="BP400" s="106"/>
      <c r="BQ400" s="106"/>
      <c r="BR400" s="106"/>
      <c r="BS400" s="106"/>
      <c r="BT400" s="106"/>
      <c r="BU400" s="106"/>
    </row>
    <row r="401" spans="15:73"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  <c r="AZ401" s="106"/>
      <c r="BA401" s="106"/>
      <c r="BB401" s="106"/>
      <c r="BC401" s="106"/>
      <c r="BD401" s="106"/>
      <c r="BE401" s="106"/>
      <c r="BF401" s="106"/>
      <c r="BG401" s="106"/>
      <c r="BH401" s="106"/>
      <c r="BI401" s="106"/>
      <c r="BJ401" s="106"/>
      <c r="BK401" s="106"/>
      <c r="BL401" s="106"/>
      <c r="BM401" s="106"/>
      <c r="BN401" s="106"/>
      <c r="BO401" s="106"/>
      <c r="BP401" s="106"/>
      <c r="BQ401" s="106"/>
      <c r="BR401" s="106"/>
      <c r="BS401" s="106"/>
      <c r="BT401" s="106"/>
      <c r="BU401" s="106"/>
    </row>
    <row r="402" spans="15:73"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  <c r="AZ402" s="106"/>
      <c r="BA402" s="106"/>
      <c r="BB402" s="106"/>
      <c r="BC402" s="106"/>
      <c r="BD402" s="106"/>
      <c r="BE402" s="106"/>
      <c r="BF402" s="106"/>
      <c r="BG402" s="106"/>
      <c r="BH402" s="106"/>
      <c r="BI402" s="106"/>
      <c r="BJ402" s="106"/>
      <c r="BK402" s="106"/>
      <c r="BL402" s="106"/>
      <c r="BM402" s="106"/>
      <c r="BN402" s="106"/>
      <c r="BO402" s="106"/>
      <c r="BP402" s="106"/>
      <c r="BQ402" s="106"/>
      <c r="BR402" s="106"/>
      <c r="BS402" s="106"/>
      <c r="BT402" s="106"/>
      <c r="BU402" s="106"/>
    </row>
    <row r="403" spans="15:73"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  <c r="AZ403" s="106"/>
      <c r="BA403" s="106"/>
      <c r="BB403" s="106"/>
      <c r="BC403" s="106"/>
      <c r="BD403" s="106"/>
      <c r="BE403" s="106"/>
      <c r="BF403" s="106"/>
      <c r="BG403" s="106"/>
      <c r="BH403" s="106"/>
      <c r="BI403" s="106"/>
      <c r="BJ403" s="106"/>
      <c r="BK403" s="106"/>
      <c r="BL403" s="106"/>
      <c r="BM403" s="106"/>
      <c r="BN403" s="106"/>
      <c r="BO403" s="106"/>
      <c r="BP403" s="106"/>
      <c r="BQ403" s="106"/>
      <c r="BR403" s="106"/>
      <c r="BS403" s="106"/>
      <c r="BT403" s="106"/>
      <c r="BU403" s="106"/>
    </row>
    <row r="404" spans="15:73"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  <c r="AZ404" s="106"/>
      <c r="BA404" s="106"/>
      <c r="BB404" s="106"/>
      <c r="BC404" s="106"/>
      <c r="BD404" s="106"/>
      <c r="BE404" s="106"/>
      <c r="BF404" s="106"/>
      <c r="BG404" s="106"/>
      <c r="BH404" s="106"/>
      <c r="BI404" s="106"/>
      <c r="BJ404" s="106"/>
      <c r="BK404" s="106"/>
      <c r="BL404" s="106"/>
      <c r="BM404" s="106"/>
      <c r="BN404" s="106"/>
      <c r="BO404" s="106"/>
      <c r="BP404" s="106"/>
      <c r="BQ404" s="106"/>
      <c r="BR404" s="106"/>
      <c r="BS404" s="106"/>
      <c r="BT404" s="106"/>
      <c r="BU404" s="106"/>
    </row>
    <row r="405" spans="15:73"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  <c r="AZ405" s="106"/>
      <c r="BA405" s="106"/>
      <c r="BB405" s="106"/>
      <c r="BC405" s="106"/>
      <c r="BD405" s="106"/>
      <c r="BE405" s="106"/>
      <c r="BF405" s="106"/>
      <c r="BG405" s="106"/>
      <c r="BH405" s="106"/>
      <c r="BI405" s="106"/>
      <c r="BJ405" s="106"/>
      <c r="BK405" s="106"/>
      <c r="BL405" s="106"/>
      <c r="BM405" s="106"/>
      <c r="BN405" s="106"/>
      <c r="BO405" s="106"/>
      <c r="BP405" s="106"/>
      <c r="BQ405" s="106"/>
      <c r="BR405" s="106"/>
      <c r="BS405" s="106"/>
      <c r="BT405" s="106"/>
      <c r="BU405" s="106"/>
    </row>
    <row r="406" spans="15:73"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  <c r="BE406" s="106"/>
      <c r="BF406" s="106"/>
      <c r="BG406" s="106"/>
      <c r="BH406" s="106"/>
      <c r="BI406" s="106"/>
      <c r="BJ406" s="106"/>
      <c r="BK406" s="106"/>
      <c r="BL406" s="106"/>
      <c r="BM406" s="106"/>
      <c r="BN406" s="106"/>
      <c r="BO406" s="106"/>
      <c r="BP406" s="106"/>
      <c r="BQ406" s="106"/>
      <c r="BR406" s="106"/>
      <c r="BS406" s="106"/>
      <c r="BT406" s="106"/>
      <c r="BU406" s="106"/>
    </row>
    <row r="407" spans="15:73"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  <c r="AZ407" s="106"/>
      <c r="BA407" s="106"/>
      <c r="BB407" s="106"/>
      <c r="BC407" s="106"/>
      <c r="BD407" s="106"/>
      <c r="BE407" s="106"/>
      <c r="BF407" s="106"/>
      <c r="BG407" s="106"/>
      <c r="BH407" s="106"/>
      <c r="BI407" s="106"/>
      <c r="BJ407" s="106"/>
      <c r="BK407" s="106"/>
      <c r="BL407" s="106"/>
      <c r="BM407" s="106"/>
      <c r="BN407" s="106"/>
      <c r="BO407" s="106"/>
      <c r="BP407" s="106"/>
      <c r="BQ407" s="106"/>
      <c r="BR407" s="106"/>
      <c r="BS407" s="106"/>
      <c r="BT407" s="106"/>
      <c r="BU407" s="106"/>
    </row>
    <row r="408" spans="15:73"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  <c r="BE408" s="106"/>
      <c r="BF408" s="106"/>
      <c r="BG408" s="106"/>
      <c r="BH408" s="106"/>
      <c r="BI408" s="106"/>
      <c r="BJ408" s="106"/>
      <c r="BK408" s="106"/>
      <c r="BL408" s="106"/>
      <c r="BM408" s="106"/>
      <c r="BN408" s="106"/>
      <c r="BO408" s="106"/>
      <c r="BP408" s="106"/>
      <c r="BQ408" s="106"/>
      <c r="BR408" s="106"/>
      <c r="BS408" s="106"/>
      <c r="BT408" s="106"/>
      <c r="BU408" s="106"/>
    </row>
    <row r="409" spans="15:73"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  <c r="AZ409" s="106"/>
      <c r="BA409" s="106"/>
      <c r="BB409" s="106"/>
      <c r="BC409" s="106"/>
      <c r="BD409" s="106"/>
      <c r="BE409" s="106"/>
      <c r="BF409" s="106"/>
      <c r="BG409" s="106"/>
      <c r="BH409" s="106"/>
      <c r="BI409" s="106"/>
      <c r="BJ409" s="106"/>
      <c r="BK409" s="106"/>
      <c r="BL409" s="106"/>
      <c r="BM409" s="106"/>
      <c r="BN409" s="106"/>
      <c r="BO409" s="106"/>
      <c r="BP409" s="106"/>
      <c r="BQ409" s="106"/>
      <c r="BR409" s="106"/>
      <c r="BS409" s="106"/>
      <c r="BT409" s="106"/>
      <c r="BU409" s="106"/>
    </row>
    <row r="410" spans="15:73"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  <c r="AZ410" s="106"/>
      <c r="BA410" s="106"/>
      <c r="BB410" s="106"/>
      <c r="BC410" s="106"/>
      <c r="BD410" s="106"/>
      <c r="BE410" s="106"/>
      <c r="BF410" s="106"/>
      <c r="BG410" s="106"/>
      <c r="BH410" s="106"/>
      <c r="BI410" s="106"/>
      <c r="BJ410" s="106"/>
      <c r="BK410" s="106"/>
      <c r="BL410" s="106"/>
      <c r="BM410" s="106"/>
      <c r="BN410" s="106"/>
      <c r="BO410" s="106"/>
      <c r="BP410" s="106"/>
      <c r="BQ410" s="106"/>
      <c r="BR410" s="106"/>
      <c r="BS410" s="106"/>
      <c r="BT410" s="106"/>
      <c r="BU410" s="106"/>
    </row>
    <row r="411" spans="15:73"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  <c r="AZ411" s="106"/>
      <c r="BA411" s="106"/>
      <c r="BB411" s="106"/>
      <c r="BC411" s="106"/>
      <c r="BD411" s="106"/>
      <c r="BE411" s="106"/>
      <c r="BF411" s="106"/>
      <c r="BG411" s="106"/>
      <c r="BH411" s="106"/>
      <c r="BI411" s="106"/>
      <c r="BJ411" s="106"/>
      <c r="BK411" s="106"/>
      <c r="BL411" s="106"/>
      <c r="BM411" s="106"/>
      <c r="BN411" s="106"/>
      <c r="BO411" s="106"/>
      <c r="BP411" s="106"/>
      <c r="BQ411" s="106"/>
      <c r="BR411" s="106"/>
      <c r="BS411" s="106"/>
      <c r="BT411" s="106"/>
      <c r="BU411" s="106"/>
    </row>
    <row r="412" spans="15:73"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  <c r="AZ412" s="106"/>
      <c r="BA412" s="106"/>
      <c r="BB412" s="106"/>
      <c r="BC412" s="106"/>
      <c r="BD412" s="106"/>
      <c r="BE412" s="106"/>
      <c r="BF412" s="106"/>
      <c r="BG412" s="106"/>
      <c r="BH412" s="106"/>
      <c r="BI412" s="106"/>
      <c r="BJ412" s="106"/>
      <c r="BK412" s="106"/>
      <c r="BL412" s="106"/>
      <c r="BM412" s="106"/>
      <c r="BN412" s="106"/>
      <c r="BO412" s="106"/>
      <c r="BP412" s="106"/>
      <c r="BQ412" s="106"/>
      <c r="BR412" s="106"/>
      <c r="BS412" s="106"/>
      <c r="BT412" s="106"/>
      <c r="BU412" s="106"/>
    </row>
    <row r="413" spans="15:73"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  <c r="BE413" s="106"/>
      <c r="BF413" s="106"/>
      <c r="BG413" s="106"/>
      <c r="BH413" s="106"/>
      <c r="BI413" s="106"/>
      <c r="BJ413" s="106"/>
      <c r="BK413" s="106"/>
      <c r="BL413" s="106"/>
      <c r="BM413" s="106"/>
      <c r="BN413" s="106"/>
      <c r="BO413" s="106"/>
      <c r="BP413" s="106"/>
      <c r="BQ413" s="106"/>
      <c r="BR413" s="106"/>
      <c r="BS413" s="106"/>
      <c r="BT413" s="106"/>
      <c r="BU413" s="106"/>
    </row>
    <row r="414" spans="15:73"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  <c r="AZ414" s="106"/>
      <c r="BA414" s="106"/>
      <c r="BB414" s="106"/>
      <c r="BC414" s="106"/>
      <c r="BD414" s="106"/>
      <c r="BE414" s="106"/>
      <c r="BF414" s="106"/>
      <c r="BG414" s="106"/>
      <c r="BH414" s="106"/>
      <c r="BI414" s="106"/>
      <c r="BJ414" s="106"/>
      <c r="BK414" s="106"/>
      <c r="BL414" s="106"/>
      <c r="BM414" s="106"/>
      <c r="BN414" s="106"/>
      <c r="BO414" s="106"/>
      <c r="BP414" s="106"/>
      <c r="BQ414" s="106"/>
      <c r="BR414" s="106"/>
      <c r="BS414" s="106"/>
      <c r="BT414" s="106"/>
      <c r="BU414" s="106"/>
    </row>
    <row r="415" spans="15:73"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  <c r="BE415" s="106"/>
      <c r="BF415" s="106"/>
      <c r="BG415" s="106"/>
      <c r="BH415" s="106"/>
      <c r="BI415" s="106"/>
      <c r="BJ415" s="106"/>
      <c r="BK415" s="106"/>
      <c r="BL415" s="106"/>
      <c r="BM415" s="106"/>
      <c r="BN415" s="106"/>
      <c r="BO415" s="106"/>
      <c r="BP415" s="106"/>
      <c r="BQ415" s="106"/>
      <c r="BR415" s="106"/>
      <c r="BS415" s="106"/>
      <c r="BT415" s="106"/>
      <c r="BU415" s="106"/>
    </row>
    <row r="416" spans="15:73"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  <c r="AZ416" s="106"/>
      <c r="BA416" s="106"/>
      <c r="BB416" s="106"/>
      <c r="BC416" s="106"/>
      <c r="BD416" s="106"/>
      <c r="BE416" s="106"/>
      <c r="BF416" s="106"/>
      <c r="BG416" s="106"/>
      <c r="BH416" s="106"/>
      <c r="BI416" s="106"/>
      <c r="BJ416" s="106"/>
      <c r="BK416" s="106"/>
      <c r="BL416" s="106"/>
      <c r="BM416" s="106"/>
      <c r="BN416" s="106"/>
      <c r="BO416" s="106"/>
      <c r="BP416" s="106"/>
      <c r="BQ416" s="106"/>
      <c r="BR416" s="106"/>
      <c r="BS416" s="106"/>
      <c r="BT416" s="106"/>
      <c r="BU416" s="106"/>
    </row>
    <row r="417" spans="15:73"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  <c r="AZ417" s="106"/>
      <c r="BA417" s="106"/>
      <c r="BB417" s="106"/>
      <c r="BC417" s="106"/>
      <c r="BD417" s="106"/>
      <c r="BE417" s="106"/>
      <c r="BF417" s="106"/>
      <c r="BG417" s="106"/>
      <c r="BH417" s="106"/>
      <c r="BI417" s="106"/>
      <c r="BJ417" s="106"/>
      <c r="BK417" s="106"/>
      <c r="BL417" s="106"/>
      <c r="BM417" s="106"/>
      <c r="BN417" s="106"/>
      <c r="BO417" s="106"/>
      <c r="BP417" s="106"/>
      <c r="BQ417" s="106"/>
      <c r="BR417" s="106"/>
      <c r="BS417" s="106"/>
      <c r="BT417" s="106"/>
      <c r="BU417" s="106"/>
    </row>
    <row r="418" spans="15:73"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  <c r="AZ418" s="106"/>
      <c r="BA418" s="106"/>
      <c r="BB418" s="106"/>
      <c r="BC418" s="106"/>
      <c r="BD418" s="106"/>
      <c r="BE418" s="106"/>
      <c r="BF418" s="106"/>
      <c r="BG418" s="106"/>
      <c r="BH418" s="106"/>
      <c r="BI418" s="106"/>
      <c r="BJ418" s="106"/>
      <c r="BK418" s="106"/>
      <c r="BL418" s="106"/>
      <c r="BM418" s="106"/>
      <c r="BN418" s="106"/>
      <c r="BO418" s="106"/>
      <c r="BP418" s="106"/>
      <c r="BQ418" s="106"/>
      <c r="BR418" s="106"/>
      <c r="BS418" s="106"/>
      <c r="BT418" s="106"/>
      <c r="BU418" s="106"/>
    </row>
    <row r="419" spans="15:73"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  <c r="AZ419" s="106"/>
      <c r="BA419" s="106"/>
      <c r="BB419" s="106"/>
      <c r="BC419" s="106"/>
      <c r="BD419" s="106"/>
      <c r="BE419" s="106"/>
      <c r="BF419" s="106"/>
      <c r="BG419" s="106"/>
      <c r="BH419" s="106"/>
      <c r="BI419" s="106"/>
      <c r="BJ419" s="106"/>
      <c r="BK419" s="106"/>
      <c r="BL419" s="106"/>
      <c r="BM419" s="106"/>
      <c r="BN419" s="106"/>
      <c r="BO419" s="106"/>
      <c r="BP419" s="106"/>
      <c r="BQ419" s="106"/>
      <c r="BR419" s="106"/>
      <c r="BS419" s="106"/>
      <c r="BT419" s="106"/>
      <c r="BU419" s="106"/>
    </row>
    <row r="420" spans="15:73"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  <c r="AZ420" s="106"/>
      <c r="BA420" s="106"/>
      <c r="BB420" s="106"/>
      <c r="BC420" s="106"/>
      <c r="BD420" s="106"/>
      <c r="BE420" s="106"/>
      <c r="BF420" s="106"/>
      <c r="BG420" s="106"/>
      <c r="BH420" s="106"/>
      <c r="BI420" s="106"/>
      <c r="BJ420" s="106"/>
      <c r="BK420" s="106"/>
      <c r="BL420" s="106"/>
      <c r="BM420" s="106"/>
      <c r="BN420" s="106"/>
      <c r="BO420" s="106"/>
      <c r="BP420" s="106"/>
      <c r="BQ420" s="106"/>
      <c r="BR420" s="106"/>
      <c r="BS420" s="106"/>
      <c r="BT420" s="106"/>
      <c r="BU420" s="106"/>
    </row>
    <row r="421" spans="15:73"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  <c r="BE421" s="106"/>
      <c r="BF421" s="106"/>
      <c r="BG421" s="106"/>
      <c r="BH421" s="106"/>
      <c r="BI421" s="106"/>
      <c r="BJ421" s="106"/>
      <c r="BK421" s="106"/>
      <c r="BL421" s="106"/>
      <c r="BM421" s="106"/>
      <c r="BN421" s="106"/>
      <c r="BO421" s="106"/>
      <c r="BP421" s="106"/>
      <c r="BQ421" s="106"/>
      <c r="BR421" s="106"/>
      <c r="BS421" s="106"/>
      <c r="BT421" s="106"/>
      <c r="BU421" s="106"/>
    </row>
    <row r="422" spans="15:73"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  <c r="AZ422" s="106"/>
      <c r="BA422" s="106"/>
      <c r="BB422" s="106"/>
      <c r="BC422" s="106"/>
      <c r="BD422" s="106"/>
      <c r="BE422" s="106"/>
      <c r="BF422" s="106"/>
      <c r="BG422" s="106"/>
      <c r="BH422" s="106"/>
      <c r="BI422" s="106"/>
      <c r="BJ422" s="106"/>
      <c r="BK422" s="106"/>
      <c r="BL422" s="106"/>
      <c r="BM422" s="106"/>
      <c r="BN422" s="106"/>
      <c r="BO422" s="106"/>
      <c r="BP422" s="106"/>
      <c r="BQ422" s="106"/>
      <c r="BR422" s="106"/>
      <c r="BS422" s="106"/>
      <c r="BT422" s="106"/>
      <c r="BU422" s="106"/>
    </row>
    <row r="423" spans="15:73"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  <c r="AZ423" s="106"/>
      <c r="BA423" s="106"/>
      <c r="BB423" s="106"/>
      <c r="BC423" s="106"/>
      <c r="BD423" s="106"/>
      <c r="BE423" s="106"/>
      <c r="BF423" s="106"/>
      <c r="BG423" s="106"/>
      <c r="BH423" s="106"/>
      <c r="BI423" s="106"/>
      <c r="BJ423" s="106"/>
      <c r="BK423" s="106"/>
      <c r="BL423" s="106"/>
      <c r="BM423" s="106"/>
      <c r="BN423" s="106"/>
      <c r="BO423" s="106"/>
      <c r="BP423" s="106"/>
      <c r="BQ423" s="106"/>
      <c r="BR423" s="106"/>
      <c r="BS423" s="106"/>
      <c r="BT423" s="106"/>
      <c r="BU423" s="106"/>
    </row>
    <row r="424" spans="15:73"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  <c r="BE424" s="106"/>
      <c r="BF424" s="106"/>
      <c r="BG424" s="106"/>
      <c r="BH424" s="106"/>
      <c r="BI424" s="106"/>
      <c r="BJ424" s="106"/>
      <c r="BK424" s="106"/>
      <c r="BL424" s="106"/>
      <c r="BM424" s="106"/>
      <c r="BN424" s="106"/>
      <c r="BO424" s="106"/>
      <c r="BP424" s="106"/>
      <c r="BQ424" s="106"/>
      <c r="BR424" s="106"/>
      <c r="BS424" s="106"/>
      <c r="BT424" s="106"/>
      <c r="BU424" s="106"/>
    </row>
    <row r="425" spans="15:73"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106"/>
      <c r="BA425" s="106"/>
      <c r="BB425" s="106"/>
      <c r="BC425" s="106"/>
      <c r="BD425" s="106"/>
      <c r="BE425" s="106"/>
      <c r="BF425" s="106"/>
      <c r="BG425" s="106"/>
      <c r="BH425" s="106"/>
      <c r="BI425" s="106"/>
      <c r="BJ425" s="106"/>
      <c r="BK425" s="106"/>
      <c r="BL425" s="106"/>
      <c r="BM425" s="106"/>
      <c r="BN425" s="106"/>
      <c r="BO425" s="106"/>
      <c r="BP425" s="106"/>
      <c r="BQ425" s="106"/>
      <c r="BR425" s="106"/>
      <c r="BS425" s="106"/>
      <c r="BT425" s="106"/>
      <c r="BU425" s="106"/>
    </row>
    <row r="426" spans="15:73"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  <c r="AZ426" s="106"/>
      <c r="BA426" s="106"/>
      <c r="BB426" s="106"/>
      <c r="BC426" s="106"/>
      <c r="BD426" s="106"/>
      <c r="BE426" s="106"/>
      <c r="BF426" s="106"/>
      <c r="BG426" s="106"/>
      <c r="BH426" s="106"/>
      <c r="BI426" s="106"/>
      <c r="BJ426" s="106"/>
      <c r="BK426" s="106"/>
      <c r="BL426" s="106"/>
      <c r="BM426" s="106"/>
      <c r="BN426" s="106"/>
      <c r="BO426" s="106"/>
      <c r="BP426" s="106"/>
      <c r="BQ426" s="106"/>
      <c r="BR426" s="106"/>
      <c r="BS426" s="106"/>
      <c r="BT426" s="106"/>
      <c r="BU426" s="106"/>
    </row>
    <row r="427" spans="15:73"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  <c r="BE427" s="106"/>
      <c r="BF427" s="106"/>
      <c r="BG427" s="106"/>
      <c r="BH427" s="106"/>
      <c r="BI427" s="106"/>
      <c r="BJ427" s="106"/>
      <c r="BK427" s="106"/>
      <c r="BL427" s="106"/>
      <c r="BM427" s="106"/>
      <c r="BN427" s="106"/>
      <c r="BO427" s="106"/>
      <c r="BP427" s="106"/>
      <c r="BQ427" s="106"/>
      <c r="BR427" s="106"/>
      <c r="BS427" s="106"/>
      <c r="BT427" s="106"/>
      <c r="BU427" s="106"/>
    </row>
    <row r="428" spans="15:73"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  <c r="AZ428" s="106"/>
      <c r="BA428" s="106"/>
      <c r="BB428" s="106"/>
      <c r="BC428" s="106"/>
      <c r="BD428" s="106"/>
      <c r="BE428" s="106"/>
      <c r="BF428" s="106"/>
      <c r="BG428" s="106"/>
      <c r="BH428" s="106"/>
      <c r="BI428" s="106"/>
      <c r="BJ428" s="106"/>
      <c r="BK428" s="106"/>
      <c r="BL428" s="106"/>
      <c r="BM428" s="106"/>
      <c r="BN428" s="106"/>
      <c r="BO428" s="106"/>
      <c r="BP428" s="106"/>
      <c r="BQ428" s="106"/>
      <c r="BR428" s="106"/>
      <c r="BS428" s="106"/>
      <c r="BT428" s="106"/>
      <c r="BU428" s="106"/>
    </row>
    <row r="429" spans="15:73"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  <c r="BE429" s="106"/>
      <c r="BF429" s="106"/>
      <c r="BG429" s="106"/>
      <c r="BH429" s="106"/>
      <c r="BI429" s="106"/>
      <c r="BJ429" s="106"/>
      <c r="BK429" s="106"/>
      <c r="BL429" s="106"/>
      <c r="BM429" s="106"/>
      <c r="BN429" s="106"/>
      <c r="BO429" s="106"/>
      <c r="BP429" s="106"/>
      <c r="BQ429" s="106"/>
      <c r="BR429" s="106"/>
      <c r="BS429" s="106"/>
      <c r="BT429" s="106"/>
      <c r="BU429" s="106"/>
    </row>
    <row r="430" spans="15:73"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  <c r="AZ430" s="106"/>
      <c r="BA430" s="106"/>
      <c r="BB430" s="106"/>
      <c r="BC430" s="106"/>
      <c r="BD430" s="106"/>
      <c r="BE430" s="106"/>
      <c r="BF430" s="106"/>
      <c r="BG430" s="106"/>
      <c r="BH430" s="106"/>
      <c r="BI430" s="106"/>
      <c r="BJ430" s="106"/>
      <c r="BK430" s="106"/>
      <c r="BL430" s="106"/>
      <c r="BM430" s="106"/>
      <c r="BN430" s="106"/>
      <c r="BO430" s="106"/>
      <c r="BP430" s="106"/>
      <c r="BQ430" s="106"/>
      <c r="BR430" s="106"/>
      <c r="BS430" s="106"/>
      <c r="BT430" s="106"/>
      <c r="BU430" s="106"/>
    </row>
    <row r="431" spans="15:73"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  <c r="BE431" s="106"/>
      <c r="BF431" s="106"/>
      <c r="BG431" s="106"/>
      <c r="BH431" s="106"/>
      <c r="BI431" s="106"/>
      <c r="BJ431" s="106"/>
      <c r="BK431" s="106"/>
      <c r="BL431" s="106"/>
      <c r="BM431" s="106"/>
      <c r="BN431" s="106"/>
      <c r="BO431" s="106"/>
      <c r="BP431" s="106"/>
      <c r="BQ431" s="106"/>
      <c r="BR431" s="106"/>
      <c r="BS431" s="106"/>
      <c r="BT431" s="106"/>
      <c r="BU431" s="106"/>
    </row>
    <row r="432" spans="15:73"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  <c r="AZ432" s="106"/>
      <c r="BA432" s="106"/>
      <c r="BB432" s="106"/>
      <c r="BC432" s="106"/>
      <c r="BD432" s="106"/>
      <c r="BE432" s="106"/>
      <c r="BF432" s="106"/>
      <c r="BG432" s="106"/>
      <c r="BH432" s="106"/>
      <c r="BI432" s="106"/>
      <c r="BJ432" s="106"/>
      <c r="BK432" s="106"/>
      <c r="BL432" s="106"/>
      <c r="BM432" s="106"/>
      <c r="BN432" s="106"/>
      <c r="BO432" s="106"/>
      <c r="BP432" s="106"/>
      <c r="BQ432" s="106"/>
      <c r="BR432" s="106"/>
      <c r="BS432" s="106"/>
      <c r="BT432" s="106"/>
      <c r="BU432" s="106"/>
    </row>
    <row r="433" spans="15:73"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  <c r="AZ433" s="106"/>
      <c r="BA433" s="106"/>
      <c r="BB433" s="106"/>
      <c r="BC433" s="106"/>
      <c r="BD433" s="106"/>
      <c r="BE433" s="106"/>
      <c r="BF433" s="106"/>
      <c r="BG433" s="106"/>
      <c r="BH433" s="106"/>
      <c r="BI433" s="106"/>
      <c r="BJ433" s="106"/>
      <c r="BK433" s="106"/>
      <c r="BL433" s="106"/>
      <c r="BM433" s="106"/>
      <c r="BN433" s="106"/>
      <c r="BO433" s="106"/>
      <c r="BP433" s="106"/>
      <c r="BQ433" s="106"/>
      <c r="BR433" s="106"/>
      <c r="BS433" s="106"/>
      <c r="BT433" s="106"/>
      <c r="BU433" s="106"/>
    </row>
    <row r="434" spans="15:73"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  <c r="AZ434" s="106"/>
      <c r="BA434" s="106"/>
      <c r="BB434" s="106"/>
      <c r="BC434" s="106"/>
      <c r="BD434" s="106"/>
      <c r="BE434" s="106"/>
      <c r="BF434" s="106"/>
      <c r="BG434" s="106"/>
      <c r="BH434" s="106"/>
      <c r="BI434" s="106"/>
      <c r="BJ434" s="106"/>
      <c r="BK434" s="106"/>
      <c r="BL434" s="106"/>
      <c r="BM434" s="106"/>
      <c r="BN434" s="106"/>
      <c r="BO434" s="106"/>
      <c r="BP434" s="106"/>
      <c r="BQ434" s="106"/>
      <c r="BR434" s="106"/>
      <c r="BS434" s="106"/>
      <c r="BT434" s="106"/>
      <c r="BU434" s="106"/>
    </row>
    <row r="435" spans="15:73"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  <c r="AZ435" s="106"/>
      <c r="BA435" s="106"/>
      <c r="BB435" s="106"/>
      <c r="BC435" s="106"/>
      <c r="BD435" s="106"/>
      <c r="BE435" s="106"/>
      <c r="BF435" s="106"/>
      <c r="BG435" s="106"/>
      <c r="BH435" s="106"/>
      <c r="BI435" s="106"/>
      <c r="BJ435" s="106"/>
      <c r="BK435" s="106"/>
      <c r="BL435" s="106"/>
      <c r="BM435" s="106"/>
      <c r="BN435" s="106"/>
      <c r="BO435" s="106"/>
      <c r="BP435" s="106"/>
      <c r="BQ435" s="106"/>
      <c r="BR435" s="106"/>
      <c r="BS435" s="106"/>
      <c r="BT435" s="106"/>
      <c r="BU435" s="106"/>
    </row>
    <row r="436" spans="15:73"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  <c r="AZ436" s="106"/>
      <c r="BA436" s="106"/>
      <c r="BB436" s="106"/>
      <c r="BC436" s="106"/>
      <c r="BD436" s="106"/>
      <c r="BE436" s="106"/>
      <c r="BF436" s="106"/>
      <c r="BG436" s="106"/>
      <c r="BH436" s="106"/>
      <c r="BI436" s="106"/>
      <c r="BJ436" s="106"/>
      <c r="BK436" s="106"/>
      <c r="BL436" s="106"/>
      <c r="BM436" s="106"/>
      <c r="BN436" s="106"/>
      <c r="BO436" s="106"/>
      <c r="BP436" s="106"/>
      <c r="BQ436" s="106"/>
      <c r="BR436" s="106"/>
      <c r="BS436" s="106"/>
      <c r="BT436" s="106"/>
      <c r="BU436" s="106"/>
    </row>
    <row r="437" spans="15:73"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  <c r="AZ437" s="106"/>
      <c r="BA437" s="106"/>
      <c r="BB437" s="106"/>
      <c r="BC437" s="106"/>
      <c r="BD437" s="106"/>
      <c r="BE437" s="106"/>
      <c r="BF437" s="106"/>
      <c r="BG437" s="106"/>
      <c r="BH437" s="106"/>
      <c r="BI437" s="106"/>
      <c r="BJ437" s="106"/>
      <c r="BK437" s="106"/>
      <c r="BL437" s="106"/>
      <c r="BM437" s="106"/>
      <c r="BN437" s="106"/>
      <c r="BO437" s="106"/>
      <c r="BP437" s="106"/>
      <c r="BQ437" s="106"/>
      <c r="BR437" s="106"/>
      <c r="BS437" s="106"/>
      <c r="BT437" s="106"/>
      <c r="BU437" s="106"/>
    </row>
    <row r="438" spans="15:73"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  <c r="AZ438" s="106"/>
      <c r="BA438" s="106"/>
      <c r="BB438" s="106"/>
      <c r="BC438" s="106"/>
      <c r="BD438" s="106"/>
      <c r="BE438" s="106"/>
      <c r="BF438" s="106"/>
      <c r="BG438" s="106"/>
      <c r="BH438" s="106"/>
      <c r="BI438" s="106"/>
      <c r="BJ438" s="106"/>
      <c r="BK438" s="106"/>
      <c r="BL438" s="106"/>
      <c r="BM438" s="106"/>
      <c r="BN438" s="106"/>
      <c r="BO438" s="106"/>
      <c r="BP438" s="106"/>
      <c r="BQ438" s="106"/>
      <c r="BR438" s="106"/>
      <c r="BS438" s="106"/>
      <c r="BT438" s="106"/>
      <c r="BU438" s="106"/>
    </row>
    <row r="439" spans="15:73"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  <c r="AZ439" s="106"/>
      <c r="BA439" s="106"/>
      <c r="BB439" s="106"/>
      <c r="BC439" s="106"/>
      <c r="BD439" s="106"/>
      <c r="BE439" s="106"/>
      <c r="BF439" s="106"/>
      <c r="BG439" s="106"/>
      <c r="BH439" s="106"/>
      <c r="BI439" s="106"/>
      <c r="BJ439" s="106"/>
      <c r="BK439" s="106"/>
      <c r="BL439" s="106"/>
      <c r="BM439" s="106"/>
      <c r="BN439" s="106"/>
      <c r="BO439" s="106"/>
      <c r="BP439" s="106"/>
      <c r="BQ439" s="106"/>
      <c r="BR439" s="106"/>
      <c r="BS439" s="106"/>
      <c r="BT439" s="106"/>
      <c r="BU439" s="106"/>
    </row>
    <row r="440" spans="15:73"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  <c r="AZ440" s="106"/>
      <c r="BA440" s="106"/>
      <c r="BB440" s="106"/>
      <c r="BC440" s="106"/>
      <c r="BD440" s="106"/>
      <c r="BE440" s="106"/>
      <c r="BF440" s="106"/>
      <c r="BG440" s="106"/>
      <c r="BH440" s="106"/>
      <c r="BI440" s="106"/>
      <c r="BJ440" s="106"/>
      <c r="BK440" s="106"/>
      <c r="BL440" s="106"/>
      <c r="BM440" s="106"/>
      <c r="BN440" s="106"/>
      <c r="BO440" s="106"/>
      <c r="BP440" s="106"/>
      <c r="BQ440" s="106"/>
      <c r="BR440" s="106"/>
      <c r="BS440" s="106"/>
      <c r="BT440" s="106"/>
      <c r="BU440" s="106"/>
    </row>
    <row r="441" spans="15:73"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  <c r="AZ441" s="106"/>
      <c r="BA441" s="106"/>
      <c r="BB441" s="106"/>
      <c r="BC441" s="106"/>
      <c r="BD441" s="106"/>
      <c r="BE441" s="106"/>
      <c r="BF441" s="106"/>
      <c r="BG441" s="106"/>
      <c r="BH441" s="106"/>
      <c r="BI441" s="106"/>
      <c r="BJ441" s="106"/>
      <c r="BK441" s="106"/>
      <c r="BL441" s="106"/>
      <c r="BM441" s="106"/>
      <c r="BN441" s="106"/>
      <c r="BO441" s="106"/>
      <c r="BP441" s="106"/>
      <c r="BQ441" s="106"/>
      <c r="BR441" s="106"/>
      <c r="BS441" s="106"/>
      <c r="BT441" s="106"/>
      <c r="BU441" s="106"/>
    </row>
    <row r="442" spans="15:73"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  <c r="AZ442" s="106"/>
      <c r="BA442" s="106"/>
      <c r="BB442" s="106"/>
      <c r="BC442" s="106"/>
      <c r="BD442" s="106"/>
      <c r="BE442" s="106"/>
      <c r="BF442" s="106"/>
      <c r="BG442" s="106"/>
      <c r="BH442" s="106"/>
      <c r="BI442" s="106"/>
      <c r="BJ442" s="106"/>
      <c r="BK442" s="106"/>
      <c r="BL442" s="106"/>
      <c r="BM442" s="106"/>
      <c r="BN442" s="106"/>
      <c r="BO442" s="106"/>
      <c r="BP442" s="106"/>
      <c r="BQ442" s="106"/>
      <c r="BR442" s="106"/>
      <c r="BS442" s="106"/>
      <c r="BT442" s="106"/>
      <c r="BU442" s="106"/>
    </row>
    <row r="443" spans="15:73"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  <c r="AZ443" s="106"/>
      <c r="BA443" s="106"/>
      <c r="BB443" s="106"/>
      <c r="BC443" s="106"/>
      <c r="BD443" s="106"/>
      <c r="BE443" s="106"/>
      <c r="BF443" s="106"/>
      <c r="BG443" s="106"/>
      <c r="BH443" s="106"/>
      <c r="BI443" s="106"/>
      <c r="BJ443" s="106"/>
      <c r="BK443" s="106"/>
      <c r="BL443" s="106"/>
      <c r="BM443" s="106"/>
      <c r="BN443" s="106"/>
      <c r="BO443" s="106"/>
      <c r="BP443" s="106"/>
      <c r="BQ443" s="106"/>
      <c r="BR443" s="106"/>
      <c r="BS443" s="106"/>
      <c r="BT443" s="106"/>
      <c r="BU443" s="106"/>
    </row>
    <row r="444" spans="15:73"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  <c r="AZ444" s="106"/>
      <c r="BA444" s="106"/>
      <c r="BB444" s="106"/>
      <c r="BC444" s="106"/>
      <c r="BD444" s="106"/>
      <c r="BE444" s="106"/>
      <c r="BF444" s="106"/>
      <c r="BG444" s="106"/>
      <c r="BH444" s="106"/>
      <c r="BI444" s="106"/>
      <c r="BJ444" s="106"/>
      <c r="BK444" s="106"/>
      <c r="BL444" s="106"/>
      <c r="BM444" s="106"/>
      <c r="BN444" s="106"/>
      <c r="BO444" s="106"/>
      <c r="BP444" s="106"/>
      <c r="BQ444" s="106"/>
      <c r="BR444" s="106"/>
      <c r="BS444" s="106"/>
      <c r="BT444" s="106"/>
      <c r="BU444" s="106"/>
    </row>
    <row r="445" spans="15:73"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  <c r="AZ445" s="106"/>
      <c r="BA445" s="106"/>
      <c r="BB445" s="106"/>
      <c r="BC445" s="106"/>
      <c r="BD445" s="106"/>
      <c r="BE445" s="106"/>
      <c r="BF445" s="106"/>
      <c r="BG445" s="106"/>
      <c r="BH445" s="106"/>
      <c r="BI445" s="106"/>
      <c r="BJ445" s="106"/>
      <c r="BK445" s="106"/>
      <c r="BL445" s="106"/>
      <c r="BM445" s="106"/>
      <c r="BN445" s="106"/>
      <c r="BO445" s="106"/>
      <c r="BP445" s="106"/>
      <c r="BQ445" s="106"/>
      <c r="BR445" s="106"/>
      <c r="BS445" s="106"/>
      <c r="BT445" s="106"/>
      <c r="BU445" s="106"/>
    </row>
    <row r="446" spans="15:73"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  <c r="AZ446" s="106"/>
      <c r="BA446" s="106"/>
      <c r="BB446" s="106"/>
      <c r="BC446" s="106"/>
      <c r="BD446" s="106"/>
      <c r="BE446" s="106"/>
      <c r="BF446" s="106"/>
      <c r="BG446" s="106"/>
      <c r="BH446" s="106"/>
      <c r="BI446" s="106"/>
      <c r="BJ446" s="106"/>
      <c r="BK446" s="106"/>
      <c r="BL446" s="106"/>
      <c r="BM446" s="106"/>
      <c r="BN446" s="106"/>
      <c r="BO446" s="106"/>
      <c r="BP446" s="106"/>
      <c r="BQ446" s="106"/>
      <c r="BR446" s="106"/>
      <c r="BS446" s="106"/>
      <c r="BT446" s="106"/>
      <c r="BU446" s="106"/>
    </row>
    <row r="447" spans="15:73"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  <c r="AZ447" s="106"/>
      <c r="BA447" s="106"/>
      <c r="BB447" s="106"/>
      <c r="BC447" s="106"/>
      <c r="BD447" s="106"/>
      <c r="BE447" s="106"/>
      <c r="BF447" s="106"/>
      <c r="BG447" s="106"/>
      <c r="BH447" s="106"/>
      <c r="BI447" s="106"/>
      <c r="BJ447" s="106"/>
      <c r="BK447" s="106"/>
      <c r="BL447" s="106"/>
      <c r="BM447" s="106"/>
      <c r="BN447" s="106"/>
      <c r="BO447" s="106"/>
      <c r="BP447" s="106"/>
      <c r="BQ447" s="106"/>
      <c r="BR447" s="106"/>
      <c r="BS447" s="106"/>
      <c r="BT447" s="106"/>
      <c r="BU447" s="106"/>
    </row>
    <row r="448" spans="15:73"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  <c r="AZ448" s="106"/>
      <c r="BA448" s="106"/>
      <c r="BB448" s="106"/>
      <c r="BC448" s="106"/>
      <c r="BD448" s="106"/>
      <c r="BE448" s="106"/>
      <c r="BF448" s="106"/>
      <c r="BG448" s="106"/>
      <c r="BH448" s="106"/>
      <c r="BI448" s="106"/>
      <c r="BJ448" s="106"/>
      <c r="BK448" s="106"/>
      <c r="BL448" s="106"/>
      <c r="BM448" s="106"/>
      <c r="BN448" s="106"/>
      <c r="BO448" s="106"/>
      <c r="BP448" s="106"/>
      <c r="BQ448" s="106"/>
      <c r="BR448" s="106"/>
      <c r="BS448" s="106"/>
      <c r="BT448" s="106"/>
      <c r="BU448" s="106"/>
    </row>
    <row r="449" spans="15:73"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  <c r="AZ449" s="106"/>
      <c r="BA449" s="106"/>
      <c r="BB449" s="106"/>
      <c r="BC449" s="106"/>
      <c r="BD449" s="106"/>
      <c r="BE449" s="106"/>
      <c r="BF449" s="106"/>
      <c r="BG449" s="106"/>
      <c r="BH449" s="106"/>
      <c r="BI449" s="106"/>
      <c r="BJ449" s="106"/>
      <c r="BK449" s="106"/>
      <c r="BL449" s="106"/>
      <c r="BM449" s="106"/>
      <c r="BN449" s="106"/>
      <c r="BO449" s="106"/>
      <c r="BP449" s="106"/>
      <c r="BQ449" s="106"/>
      <c r="BR449" s="106"/>
      <c r="BS449" s="106"/>
      <c r="BT449" s="106"/>
      <c r="BU449" s="106"/>
    </row>
    <row r="450" spans="15:73"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  <c r="AZ450" s="106"/>
      <c r="BA450" s="106"/>
      <c r="BB450" s="106"/>
      <c r="BC450" s="106"/>
      <c r="BD450" s="106"/>
      <c r="BE450" s="106"/>
      <c r="BF450" s="106"/>
      <c r="BG450" s="106"/>
      <c r="BH450" s="106"/>
      <c r="BI450" s="106"/>
      <c r="BJ450" s="106"/>
      <c r="BK450" s="106"/>
      <c r="BL450" s="106"/>
      <c r="BM450" s="106"/>
      <c r="BN450" s="106"/>
      <c r="BO450" s="106"/>
      <c r="BP450" s="106"/>
      <c r="BQ450" s="106"/>
      <c r="BR450" s="106"/>
      <c r="BS450" s="106"/>
      <c r="BT450" s="106"/>
      <c r="BU450" s="106"/>
    </row>
    <row r="451" spans="15:73"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D451" s="106"/>
      <c r="BE451" s="106"/>
      <c r="BF451" s="106"/>
      <c r="BG451" s="106"/>
      <c r="BH451" s="106"/>
      <c r="BI451" s="106"/>
      <c r="BJ451" s="106"/>
      <c r="BK451" s="106"/>
      <c r="BL451" s="106"/>
      <c r="BM451" s="106"/>
      <c r="BN451" s="106"/>
      <c r="BO451" s="106"/>
      <c r="BP451" s="106"/>
      <c r="BQ451" s="106"/>
      <c r="BR451" s="106"/>
      <c r="BS451" s="106"/>
      <c r="BT451" s="106"/>
      <c r="BU451" s="106"/>
    </row>
    <row r="452" spans="15:73"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D452" s="106"/>
      <c r="BE452" s="106"/>
      <c r="BF452" s="106"/>
      <c r="BG452" s="106"/>
      <c r="BH452" s="106"/>
      <c r="BI452" s="106"/>
      <c r="BJ452" s="106"/>
      <c r="BK452" s="106"/>
      <c r="BL452" s="106"/>
      <c r="BM452" s="106"/>
      <c r="BN452" s="106"/>
      <c r="BO452" s="106"/>
      <c r="BP452" s="106"/>
      <c r="BQ452" s="106"/>
      <c r="BR452" s="106"/>
      <c r="BS452" s="106"/>
      <c r="BT452" s="106"/>
      <c r="BU452" s="106"/>
    </row>
    <row r="453" spans="15:73"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D453" s="106"/>
      <c r="BE453" s="106"/>
      <c r="BF453" s="106"/>
      <c r="BG453" s="106"/>
      <c r="BH453" s="106"/>
      <c r="BI453" s="106"/>
      <c r="BJ453" s="106"/>
      <c r="BK453" s="106"/>
      <c r="BL453" s="106"/>
      <c r="BM453" s="106"/>
      <c r="BN453" s="106"/>
      <c r="BO453" s="106"/>
      <c r="BP453" s="106"/>
      <c r="BQ453" s="106"/>
      <c r="BR453" s="106"/>
      <c r="BS453" s="106"/>
      <c r="BT453" s="106"/>
      <c r="BU453" s="106"/>
    </row>
    <row r="454" spans="15:73"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  <c r="BE454" s="106"/>
      <c r="BF454" s="106"/>
      <c r="BG454" s="106"/>
      <c r="BH454" s="106"/>
      <c r="BI454" s="106"/>
      <c r="BJ454" s="106"/>
      <c r="BK454" s="106"/>
      <c r="BL454" s="106"/>
      <c r="BM454" s="106"/>
      <c r="BN454" s="106"/>
      <c r="BO454" s="106"/>
      <c r="BP454" s="106"/>
      <c r="BQ454" s="106"/>
      <c r="BR454" s="106"/>
      <c r="BS454" s="106"/>
      <c r="BT454" s="106"/>
      <c r="BU454" s="106"/>
    </row>
    <row r="455" spans="15:73"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  <c r="AZ455" s="106"/>
      <c r="BA455" s="106"/>
      <c r="BB455" s="106"/>
      <c r="BC455" s="106"/>
      <c r="BD455" s="106"/>
      <c r="BE455" s="106"/>
      <c r="BF455" s="106"/>
      <c r="BG455" s="106"/>
      <c r="BH455" s="106"/>
      <c r="BI455" s="106"/>
      <c r="BJ455" s="106"/>
      <c r="BK455" s="106"/>
      <c r="BL455" s="106"/>
      <c r="BM455" s="106"/>
      <c r="BN455" s="106"/>
      <c r="BO455" s="106"/>
      <c r="BP455" s="106"/>
      <c r="BQ455" s="106"/>
      <c r="BR455" s="106"/>
      <c r="BS455" s="106"/>
      <c r="BT455" s="106"/>
      <c r="BU455" s="106"/>
    </row>
    <row r="456" spans="15:73"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  <c r="BE456" s="106"/>
      <c r="BF456" s="106"/>
      <c r="BG456" s="106"/>
      <c r="BH456" s="106"/>
      <c r="BI456" s="106"/>
      <c r="BJ456" s="106"/>
      <c r="BK456" s="106"/>
      <c r="BL456" s="106"/>
      <c r="BM456" s="106"/>
      <c r="BN456" s="106"/>
      <c r="BO456" s="106"/>
      <c r="BP456" s="106"/>
      <c r="BQ456" s="106"/>
      <c r="BR456" s="106"/>
      <c r="BS456" s="106"/>
      <c r="BT456" s="106"/>
      <c r="BU456" s="106"/>
    </row>
    <row r="457" spans="15:73"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  <c r="AZ457" s="106"/>
      <c r="BA457" s="106"/>
      <c r="BB457" s="106"/>
      <c r="BC457" s="106"/>
      <c r="BD457" s="106"/>
      <c r="BE457" s="106"/>
      <c r="BF457" s="106"/>
      <c r="BG457" s="106"/>
      <c r="BH457" s="106"/>
      <c r="BI457" s="106"/>
      <c r="BJ457" s="106"/>
      <c r="BK457" s="106"/>
      <c r="BL457" s="106"/>
      <c r="BM457" s="106"/>
      <c r="BN457" s="106"/>
      <c r="BO457" s="106"/>
      <c r="BP457" s="106"/>
      <c r="BQ457" s="106"/>
      <c r="BR457" s="106"/>
      <c r="BS457" s="106"/>
      <c r="BT457" s="106"/>
      <c r="BU457" s="106"/>
    </row>
    <row r="458" spans="15:73"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  <c r="BE458" s="106"/>
      <c r="BF458" s="106"/>
      <c r="BG458" s="106"/>
      <c r="BH458" s="106"/>
      <c r="BI458" s="106"/>
      <c r="BJ458" s="106"/>
      <c r="BK458" s="106"/>
      <c r="BL458" s="106"/>
      <c r="BM458" s="106"/>
      <c r="BN458" s="106"/>
      <c r="BO458" s="106"/>
      <c r="BP458" s="106"/>
      <c r="BQ458" s="106"/>
      <c r="BR458" s="106"/>
      <c r="BS458" s="106"/>
      <c r="BT458" s="106"/>
      <c r="BU458" s="106"/>
    </row>
    <row r="459" spans="15:73"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  <c r="AZ459" s="106"/>
      <c r="BA459" s="106"/>
      <c r="BB459" s="106"/>
      <c r="BC459" s="106"/>
      <c r="BD459" s="106"/>
      <c r="BE459" s="106"/>
      <c r="BF459" s="106"/>
      <c r="BG459" s="106"/>
      <c r="BH459" s="106"/>
      <c r="BI459" s="106"/>
      <c r="BJ459" s="106"/>
      <c r="BK459" s="106"/>
      <c r="BL459" s="106"/>
      <c r="BM459" s="106"/>
      <c r="BN459" s="106"/>
      <c r="BO459" s="106"/>
      <c r="BP459" s="106"/>
      <c r="BQ459" s="106"/>
      <c r="BR459" s="106"/>
      <c r="BS459" s="106"/>
      <c r="BT459" s="106"/>
      <c r="BU459" s="106"/>
    </row>
    <row r="460" spans="15:73"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  <c r="AZ460" s="106"/>
      <c r="BA460" s="106"/>
      <c r="BB460" s="106"/>
      <c r="BC460" s="106"/>
      <c r="BD460" s="106"/>
      <c r="BE460" s="106"/>
      <c r="BF460" s="106"/>
      <c r="BG460" s="106"/>
      <c r="BH460" s="106"/>
      <c r="BI460" s="106"/>
      <c r="BJ460" s="106"/>
      <c r="BK460" s="106"/>
      <c r="BL460" s="106"/>
      <c r="BM460" s="106"/>
      <c r="BN460" s="106"/>
      <c r="BO460" s="106"/>
      <c r="BP460" s="106"/>
      <c r="BQ460" s="106"/>
      <c r="BR460" s="106"/>
      <c r="BS460" s="106"/>
      <c r="BT460" s="106"/>
      <c r="BU460" s="106"/>
    </row>
    <row r="461" spans="15:73"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  <c r="BE461" s="106"/>
      <c r="BF461" s="106"/>
      <c r="BG461" s="106"/>
      <c r="BH461" s="106"/>
      <c r="BI461" s="106"/>
      <c r="BJ461" s="106"/>
      <c r="BK461" s="106"/>
      <c r="BL461" s="106"/>
      <c r="BM461" s="106"/>
      <c r="BN461" s="106"/>
      <c r="BO461" s="106"/>
      <c r="BP461" s="106"/>
      <c r="BQ461" s="106"/>
      <c r="BR461" s="106"/>
      <c r="BS461" s="106"/>
      <c r="BT461" s="106"/>
      <c r="BU461" s="106"/>
    </row>
    <row r="462" spans="15:73"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106"/>
      <c r="BE462" s="106"/>
      <c r="BF462" s="106"/>
      <c r="BG462" s="106"/>
      <c r="BH462" s="106"/>
      <c r="BI462" s="106"/>
      <c r="BJ462" s="106"/>
      <c r="BK462" s="106"/>
      <c r="BL462" s="106"/>
      <c r="BM462" s="106"/>
      <c r="BN462" s="106"/>
      <c r="BO462" s="106"/>
      <c r="BP462" s="106"/>
      <c r="BQ462" s="106"/>
      <c r="BR462" s="106"/>
      <c r="BS462" s="106"/>
      <c r="BT462" s="106"/>
      <c r="BU462" s="106"/>
    </row>
    <row r="463" spans="15:73"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  <c r="BE463" s="106"/>
      <c r="BF463" s="106"/>
      <c r="BG463" s="106"/>
      <c r="BH463" s="106"/>
      <c r="BI463" s="106"/>
      <c r="BJ463" s="106"/>
      <c r="BK463" s="106"/>
      <c r="BL463" s="106"/>
      <c r="BM463" s="106"/>
      <c r="BN463" s="106"/>
      <c r="BO463" s="106"/>
      <c r="BP463" s="106"/>
      <c r="BQ463" s="106"/>
      <c r="BR463" s="106"/>
      <c r="BS463" s="106"/>
      <c r="BT463" s="106"/>
      <c r="BU463" s="106"/>
    </row>
    <row r="464" spans="15:73"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  <c r="AZ464" s="106"/>
      <c r="BA464" s="106"/>
      <c r="BB464" s="106"/>
      <c r="BC464" s="106"/>
      <c r="BD464" s="106"/>
      <c r="BE464" s="106"/>
      <c r="BF464" s="106"/>
      <c r="BG464" s="106"/>
      <c r="BH464" s="106"/>
      <c r="BI464" s="106"/>
      <c r="BJ464" s="106"/>
      <c r="BK464" s="106"/>
      <c r="BL464" s="106"/>
      <c r="BM464" s="106"/>
      <c r="BN464" s="106"/>
      <c r="BO464" s="106"/>
      <c r="BP464" s="106"/>
      <c r="BQ464" s="106"/>
      <c r="BR464" s="106"/>
      <c r="BS464" s="106"/>
      <c r="BT464" s="106"/>
      <c r="BU464" s="106"/>
    </row>
    <row r="465" spans="15:73"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  <c r="BE465" s="106"/>
      <c r="BF465" s="106"/>
      <c r="BG465" s="106"/>
      <c r="BH465" s="106"/>
      <c r="BI465" s="106"/>
      <c r="BJ465" s="106"/>
      <c r="BK465" s="106"/>
      <c r="BL465" s="106"/>
      <c r="BM465" s="106"/>
      <c r="BN465" s="106"/>
      <c r="BO465" s="106"/>
      <c r="BP465" s="106"/>
      <c r="BQ465" s="106"/>
      <c r="BR465" s="106"/>
      <c r="BS465" s="106"/>
      <c r="BT465" s="106"/>
      <c r="BU465" s="106"/>
    </row>
    <row r="466" spans="15:73"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  <c r="AZ466" s="106"/>
      <c r="BA466" s="106"/>
      <c r="BB466" s="106"/>
      <c r="BC466" s="106"/>
      <c r="BD466" s="106"/>
      <c r="BE466" s="106"/>
      <c r="BF466" s="106"/>
      <c r="BG466" s="106"/>
      <c r="BH466" s="106"/>
      <c r="BI466" s="106"/>
      <c r="BJ466" s="106"/>
      <c r="BK466" s="106"/>
      <c r="BL466" s="106"/>
      <c r="BM466" s="106"/>
      <c r="BN466" s="106"/>
      <c r="BO466" s="106"/>
      <c r="BP466" s="106"/>
      <c r="BQ466" s="106"/>
      <c r="BR466" s="106"/>
      <c r="BS466" s="106"/>
      <c r="BT466" s="106"/>
      <c r="BU466" s="106"/>
    </row>
    <row r="467" spans="15:73"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  <c r="AZ467" s="106"/>
      <c r="BA467" s="106"/>
      <c r="BB467" s="106"/>
      <c r="BC467" s="106"/>
      <c r="BD467" s="106"/>
      <c r="BE467" s="106"/>
      <c r="BF467" s="106"/>
      <c r="BG467" s="106"/>
      <c r="BH467" s="106"/>
      <c r="BI467" s="106"/>
      <c r="BJ467" s="106"/>
      <c r="BK467" s="106"/>
      <c r="BL467" s="106"/>
      <c r="BM467" s="106"/>
      <c r="BN467" s="106"/>
      <c r="BO467" s="106"/>
      <c r="BP467" s="106"/>
      <c r="BQ467" s="106"/>
      <c r="BR467" s="106"/>
      <c r="BS467" s="106"/>
      <c r="BT467" s="106"/>
      <c r="BU467" s="106"/>
    </row>
    <row r="468" spans="15:73"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  <c r="AZ468" s="106"/>
      <c r="BA468" s="106"/>
      <c r="BB468" s="106"/>
      <c r="BC468" s="106"/>
      <c r="BD468" s="106"/>
      <c r="BE468" s="106"/>
      <c r="BF468" s="106"/>
      <c r="BG468" s="106"/>
      <c r="BH468" s="106"/>
      <c r="BI468" s="106"/>
      <c r="BJ468" s="106"/>
      <c r="BK468" s="106"/>
      <c r="BL468" s="106"/>
      <c r="BM468" s="106"/>
      <c r="BN468" s="106"/>
      <c r="BO468" s="106"/>
      <c r="BP468" s="106"/>
      <c r="BQ468" s="106"/>
      <c r="BR468" s="106"/>
      <c r="BS468" s="106"/>
      <c r="BT468" s="106"/>
      <c r="BU468" s="106"/>
    </row>
    <row r="469" spans="15:73"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  <c r="AZ469" s="106"/>
      <c r="BA469" s="106"/>
      <c r="BB469" s="106"/>
      <c r="BC469" s="106"/>
      <c r="BD469" s="106"/>
      <c r="BE469" s="106"/>
      <c r="BF469" s="106"/>
      <c r="BG469" s="106"/>
      <c r="BH469" s="106"/>
      <c r="BI469" s="106"/>
      <c r="BJ469" s="106"/>
      <c r="BK469" s="106"/>
      <c r="BL469" s="106"/>
      <c r="BM469" s="106"/>
      <c r="BN469" s="106"/>
      <c r="BO469" s="106"/>
      <c r="BP469" s="106"/>
      <c r="BQ469" s="106"/>
      <c r="BR469" s="106"/>
      <c r="BS469" s="106"/>
      <c r="BT469" s="106"/>
      <c r="BU469" s="106"/>
    </row>
    <row r="470" spans="15:73"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  <c r="AZ470" s="106"/>
      <c r="BA470" s="106"/>
      <c r="BB470" s="106"/>
      <c r="BC470" s="106"/>
      <c r="BD470" s="106"/>
      <c r="BE470" s="106"/>
      <c r="BF470" s="106"/>
      <c r="BG470" s="106"/>
      <c r="BH470" s="106"/>
      <c r="BI470" s="106"/>
      <c r="BJ470" s="106"/>
      <c r="BK470" s="106"/>
      <c r="BL470" s="106"/>
      <c r="BM470" s="106"/>
      <c r="BN470" s="106"/>
      <c r="BO470" s="106"/>
      <c r="BP470" s="106"/>
      <c r="BQ470" s="106"/>
      <c r="BR470" s="106"/>
      <c r="BS470" s="106"/>
      <c r="BT470" s="106"/>
      <c r="BU470" s="106"/>
    </row>
    <row r="471" spans="15:73"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  <c r="AZ471" s="106"/>
      <c r="BA471" s="106"/>
      <c r="BB471" s="106"/>
      <c r="BC471" s="106"/>
      <c r="BD471" s="106"/>
      <c r="BE471" s="106"/>
      <c r="BF471" s="106"/>
      <c r="BG471" s="106"/>
      <c r="BH471" s="106"/>
      <c r="BI471" s="106"/>
      <c r="BJ471" s="106"/>
      <c r="BK471" s="106"/>
      <c r="BL471" s="106"/>
      <c r="BM471" s="106"/>
      <c r="BN471" s="106"/>
      <c r="BO471" s="106"/>
      <c r="BP471" s="106"/>
      <c r="BQ471" s="106"/>
      <c r="BR471" s="106"/>
      <c r="BS471" s="106"/>
      <c r="BT471" s="106"/>
      <c r="BU471" s="106"/>
    </row>
    <row r="472" spans="15:73"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  <c r="AZ472" s="106"/>
      <c r="BA472" s="106"/>
      <c r="BB472" s="106"/>
      <c r="BC472" s="106"/>
      <c r="BD472" s="106"/>
      <c r="BE472" s="106"/>
      <c r="BF472" s="106"/>
      <c r="BG472" s="106"/>
      <c r="BH472" s="106"/>
      <c r="BI472" s="106"/>
      <c r="BJ472" s="106"/>
      <c r="BK472" s="106"/>
      <c r="BL472" s="106"/>
      <c r="BM472" s="106"/>
      <c r="BN472" s="106"/>
      <c r="BO472" s="106"/>
      <c r="BP472" s="106"/>
      <c r="BQ472" s="106"/>
      <c r="BR472" s="106"/>
      <c r="BS472" s="106"/>
      <c r="BT472" s="106"/>
      <c r="BU472" s="106"/>
    </row>
    <row r="473" spans="15:73"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  <c r="BE473" s="106"/>
      <c r="BF473" s="106"/>
      <c r="BG473" s="106"/>
      <c r="BH473" s="106"/>
      <c r="BI473" s="106"/>
      <c r="BJ473" s="106"/>
      <c r="BK473" s="106"/>
      <c r="BL473" s="106"/>
      <c r="BM473" s="106"/>
      <c r="BN473" s="106"/>
      <c r="BO473" s="106"/>
      <c r="BP473" s="106"/>
      <c r="BQ473" s="106"/>
      <c r="BR473" s="106"/>
      <c r="BS473" s="106"/>
      <c r="BT473" s="106"/>
      <c r="BU473" s="106"/>
    </row>
    <row r="474" spans="15:73"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  <c r="AZ474" s="106"/>
      <c r="BA474" s="106"/>
      <c r="BB474" s="106"/>
      <c r="BC474" s="106"/>
      <c r="BD474" s="106"/>
      <c r="BE474" s="106"/>
      <c r="BF474" s="106"/>
      <c r="BG474" s="106"/>
      <c r="BH474" s="106"/>
      <c r="BI474" s="106"/>
      <c r="BJ474" s="106"/>
      <c r="BK474" s="106"/>
      <c r="BL474" s="106"/>
      <c r="BM474" s="106"/>
      <c r="BN474" s="106"/>
      <c r="BO474" s="106"/>
      <c r="BP474" s="106"/>
      <c r="BQ474" s="106"/>
      <c r="BR474" s="106"/>
      <c r="BS474" s="106"/>
      <c r="BT474" s="106"/>
      <c r="BU474" s="106"/>
    </row>
    <row r="475" spans="15:73"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  <c r="AZ475" s="106"/>
      <c r="BA475" s="106"/>
      <c r="BB475" s="106"/>
      <c r="BC475" s="106"/>
      <c r="BD475" s="106"/>
      <c r="BE475" s="106"/>
      <c r="BF475" s="106"/>
      <c r="BG475" s="106"/>
      <c r="BH475" s="106"/>
      <c r="BI475" s="106"/>
      <c r="BJ475" s="106"/>
      <c r="BK475" s="106"/>
      <c r="BL475" s="106"/>
      <c r="BM475" s="106"/>
      <c r="BN475" s="106"/>
      <c r="BO475" s="106"/>
      <c r="BP475" s="106"/>
      <c r="BQ475" s="106"/>
      <c r="BR475" s="106"/>
      <c r="BS475" s="106"/>
      <c r="BT475" s="106"/>
      <c r="BU475" s="106"/>
    </row>
    <row r="476" spans="15:73"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  <c r="AZ476" s="106"/>
      <c r="BA476" s="106"/>
      <c r="BB476" s="106"/>
      <c r="BC476" s="106"/>
      <c r="BD476" s="106"/>
      <c r="BE476" s="106"/>
      <c r="BF476" s="106"/>
      <c r="BG476" s="106"/>
      <c r="BH476" s="106"/>
      <c r="BI476" s="106"/>
      <c r="BJ476" s="106"/>
      <c r="BK476" s="106"/>
      <c r="BL476" s="106"/>
      <c r="BM476" s="106"/>
      <c r="BN476" s="106"/>
      <c r="BO476" s="106"/>
      <c r="BP476" s="106"/>
      <c r="BQ476" s="106"/>
      <c r="BR476" s="106"/>
      <c r="BS476" s="106"/>
      <c r="BT476" s="106"/>
      <c r="BU476" s="106"/>
    </row>
    <row r="477" spans="15:73"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  <c r="AZ477" s="106"/>
      <c r="BA477" s="106"/>
      <c r="BB477" s="106"/>
      <c r="BC477" s="106"/>
      <c r="BD477" s="106"/>
      <c r="BE477" s="106"/>
      <c r="BF477" s="106"/>
      <c r="BG477" s="106"/>
      <c r="BH477" s="106"/>
      <c r="BI477" s="106"/>
      <c r="BJ477" s="106"/>
      <c r="BK477" s="106"/>
      <c r="BL477" s="106"/>
      <c r="BM477" s="106"/>
      <c r="BN477" s="106"/>
      <c r="BO477" s="106"/>
      <c r="BP477" s="106"/>
      <c r="BQ477" s="106"/>
      <c r="BR477" s="106"/>
      <c r="BS477" s="106"/>
      <c r="BT477" s="106"/>
      <c r="BU477" s="106"/>
    </row>
    <row r="478" spans="15:73"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  <c r="AZ478" s="106"/>
      <c r="BA478" s="106"/>
      <c r="BB478" s="106"/>
      <c r="BC478" s="106"/>
      <c r="BD478" s="106"/>
      <c r="BE478" s="106"/>
      <c r="BF478" s="106"/>
      <c r="BG478" s="106"/>
      <c r="BH478" s="106"/>
      <c r="BI478" s="106"/>
      <c r="BJ478" s="106"/>
      <c r="BK478" s="106"/>
      <c r="BL478" s="106"/>
      <c r="BM478" s="106"/>
      <c r="BN478" s="106"/>
      <c r="BO478" s="106"/>
      <c r="BP478" s="106"/>
      <c r="BQ478" s="106"/>
      <c r="BR478" s="106"/>
      <c r="BS478" s="106"/>
      <c r="BT478" s="106"/>
      <c r="BU478" s="106"/>
    </row>
    <row r="479" spans="15:73"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  <c r="AZ479" s="106"/>
      <c r="BA479" s="106"/>
      <c r="BB479" s="106"/>
      <c r="BC479" s="106"/>
      <c r="BD479" s="106"/>
      <c r="BE479" s="106"/>
      <c r="BF479" s="106"/>
      <c r="BG479" s="106"/>
      <c r="BH479" s="106"/>
      <c r="BI479" s="106"/>
      <c r="BJ479" s="106"/>
      <c r="BK479" s="106"/>
      <c r="BL479" s="106"/>
      <c r="BM479" s="106"/>
      <c r="BN479" s="106"/>
      <c r="BO479" s="106"/>
      <c r="BP479" s="106"/>
      <c r="BQ479" s="106"/>
      <c r="BR479" s="106"/>
      <c r="BS479" s="106"/>
      <c r="BT479" s="106"/>
      <c r="BU479" s="106"/>
    </row>
    <row r="480" spans="15:73"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  <c r="AZ480" s="106"/>
      <c r="BA480" s="106"/>
      <c r="BB480" s="106"/>
      <c r="BC480" s="106"/>
      <c r="BD480" s="106"/>
      <c r="BE480" s="106"/>
      <c r="BF480" s="106"/>
      <c r="BG480" s="106"/>
      <c r="BH480" s="106"/>
      <c r="BI480" s="106"/>
      <c r="BJ480" s="106"/>
      <c r="BK480" s="106"/>
      <c r="BL480" s="106"/>
      <c r="BM480" s="106"/>
      <c r="BN480" s="106"/>
      <c r="BO480" s="106"/>
      <c r="BP480" s="106"/>
      <c r="BQ480" s="106"/>
      <c r="BR480" s="106"/>
      <c r="BS480" s="106"/>
      <c r="BT480" s="106"/>
      <c r="BU480" s="106"/>
    </row>
    <row r="481" spans="15:73"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  <c r="AZ481" s="106"/>
      <c r="BA481" s="106"/>
      <c r="BB481" s="106"/>
      <c r="BC481" s="106"/>
      <c r="BD481" s="106"/>
      <c r="BE481" s="106"/>
      <c r="BF481" s="106"/>
      <c r="BG481" s="106"/>
      <c r="BH481" s="106"/>
      <c r="BI481" s="106"/>
      <c r="BJ481" s="106"/>
      <c r="BK481" s="106"/>
      <c r="BL481" s="106"/>
      <c r="BM481" s="106"/>
      <c r="BN481" s="106"/>
      <c r="BO481" s="106"/>
      <c r="BP481" s="106"/>
      <c r="BQ481" s="106"/>
      <c r="BR481" s="106"/>
      <c r="BS481" s="106"/>
      <c r="BT481" s="106"/>
      <c r="BU481" s="106"/>
    </row>
    <row r="482" spans="15:73"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  <c r="AZ482" s="106"/>
      <c r="BA482" s="106"/>
      <c r="BB482" s="106"/>
      <c r="BC482" s="106"/>
      <c r="BD482" s="106"/>
      <c r="BE482" s="106"/>
      <c r="BF482" s="106"/>
      <c r="BG482" s="106"/>
      <c r="BH482" s="106"/>
      <c r="BI482" s="106"/>
      <c r="BJ482" s="106"/>
      <c r="BK482" s="106"/>
      <c r="BL482" s="106"/>
      <c r="BM482" s="106"/>
      <c r="BN482" s="106"/>
      <c r="BO482" s="106"/>
      <c r="BP482" s="106"/>
      <c r="BQ482" s="106"/>
      <c r="BR482" s="106"/>
      <c r="BS482" s="106"/>
      <c r="BT482" s="106"/>
      <c r="BU482" s="106"/>
    </row>
    <row r="483" spans="15:73"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  <c r="AZ483" s="106"/>
      <c r="BA483" s="106"/>
      <c r="BB483" s="106"/>
      <c r="BC483" s="106"/>
      <c r="BD483" s="106"/>
      <c r="BE483" s="106"/>
      <c r="BF483" s="106"/>
      <c r="BG483" s="106"/>
      <c r="BH483" s="106"/>
      <c r="BI483" s="106"/>
      <c r="BJ483" s="106"/>
      <c r="BK483" s="106"/>
      <c r="BL483" s="106"/>
      <c r="BM483" s="106"/>
      <c r="BN483" s="106"/>
      <c r="BO483" s="106"/>
      <c r="BP483" s="106"/>
      <c r="BQ483" s="106"/>
      <c r="BR483" s="106"/>
      <c r="BS483" s="106"/>
      <c r="BT483" s="106"/>
      <c r="BU483" s="106"/>
    </row>
    <row r="484" spans="15:73"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  <c r="AZ484" s="106"/>
      <c r="BA484" s="106"/>
      <c r="BB484" s="106"/>
      <c r="BC484" s="106"/>
      <c r="BD484" s="106"/>
      <c r="BE484" s="106"/>
      <c r="BF484" s="106"/>
      <c r="BG484" s="106"/>
      <c r="BH484" s="106"/>
      <c r="BI484" s="106"/>
      <c r="BJ484" s="106"/>
      <c r="BK484" s="106"/>
      <c r="BL484" s="106"/>
      <c r="BM484" s="106"/>
      <c r="BN484" s="106"/>
      <c r="BO484" s="106"/>
      <c r="BP484" s="106"/>
      <c r="BQ484" s="106"/>
      <c r="BR484" s="106"/>
      <c r="BS484" s="106"/>
      <c r="BT484" s="106"/>
      <c r="BU484" s="106"/>
    </row>
    <row r="485" spans="15:73"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  <c r="AZ485" s="106"/>
      <c r="BA485" s="106"/>
      <c r="BB485" s="106"/>
      <c r="BC485" s="106"/>
      <c r="BD485" s="106"/>
      <c r="BE485" s="106"/>
      <c r="BF485" s="106"/>
      <c r="BG485" s="106"/>
      <c r="BH485" s="106"/>
      <c r="BI485" s="106"/>
      <c r="BJ485" s="106"/>
      <c r="BK485" s="106"/>
      <c r="BL485" s="106"/>
      <c r="BM485" s="106"/>
      <c r="BN485" s="106"/>
      <c r="BO485" s="106"/>
      <c r="BP485" s="106"/>
      <c r="BQ485" s="106"/>
      <c r="BR485" s="106"/>
      <c r="BS485" s="106"/>
      <c r="BT485" s="106"/>
      <c r="BU485" s="106"/>
    </row>
    <row r="486" spans="15:73"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  <c r="AZ486" s="106"/>
      <c r="BA486" s="106"/>
      <c r="BB486" s="106"/>
      <c r="BC486" s="106"/>
      <c r="BD486" s="106"/>
      <c r="BE486" s="106"/>
      <c r="BF486" s="106"/>
      <c r="BG486" s="106"/>
      <c r="BH486" s="106"/>
      <c r="BI486" s="106"/>
      <c r="BJ486" s="106"/>
      <c r="BK486" s="106"/>
      <c r="BL486" s="106"/>
      <c r="BM486" s="106"/>
      <c r="BN486" s="106"/>
      <c r="BO486" s="106"/>
      <c r="BP486" s="106"/>
      <c r="BQ486" s="106"/>
      <c r="BR486" s="106"/>
      <c r="BS486" s="106"/>
      <c r="BT486" s="106"/>
      <c r="BU486" s="106"/>
    </row>
    <row r="487" spans="15:73"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  <c r="AZ487" s="106"/>
      <c r="BA487" s="106"/>
      <c r="BB487" s="106"/>
      <c r="BC487" s="106"/>
      <c r="BD487" s="106"/>
      <c r="BE487" s="106"/>
      <c r="BF487" s="106"/>
      <c r="BG487" s="106"/>
      <c r="BH487" s="106"/>
      <c r="BI487" s="106"/>
      <c r="BJ487" s="106"/>
      <c r="BK487" s="106"/>
      <c r="BL487" s="106"/>
      <c r="BM487" s="106"/>
      <c r="BN487" s="106"/>
      <c r="BO487" s="106"/>
      <c r="BP487" s="106"/>
      <c r="BQ487" s="106"/>
      <c r="BR487" s="106"/>
      <c r="BS487" s="106"/>
      <c r="BT487" s="106"/>
      <c r="BU487" s="106"/>
    </row>
    <row r="488" spans="15:73"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  <c r="AZ488" s="106"/>
      <c r="BA488" s="106"/>
      <c r="BB488" s="106"/>
      <c r="BC488" s="106"/>
      <c r="BD488" s="106"/>
      <c r="BE488" s="106"/>
      <c r="BF488" s="106"/>
      <c r="BG488" s="106"/>
      <c r="BH488" s="106"/>
      <c r="BI488" s="106"/>
      <c r="BJ488" s="106"/>
      <c r="BK488" s="106"/>
      <c r="BL488" s="106"/>
      <c r="BM488" s="106"/>
      <c r="BN488" s="106"/>
      <c r="BO488" s="106"/>
      <c r="BP488" s="106"/>
      <c r="BQ488" s="106"/>
      <c r="BR488" s="106"/>
      <c r="BS488" s="106"/>
      <c r="BT488" s="106"/>
      <c r="BU488" s="106"/>
    </row>
    <row r="489" spans="15:73"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  <c r="AZ489" s="106"/>
      <c r="BA489" s="106"/>
      <c r="BB489" s="106"/>
      <c r="BC489" s="106"/>
      <c r="BD489" s="106"/>
      <c r="BE489" s="106"/>
      <c r="BF489" s="106"/>
      <c r="BG489" s="106"/>
      <c r="BH489" s="106"/>
      <c r="BI489" s="106"/>
      <c r="BJ489" s="106"/>
      <c r="BK489" s="106"/>
      <c r="BL489" s="106"/>
      <c r="BM489" s="106"/>
      <c r="BN489" s="106"/>
      <c r="BO489" s="106"/>
      <c r="BP489" s="106"/>
      <c r="BQ489" s="106"/>
      <c r="BR489" s="106"/>
      <c r="BS489" s="106"/>
      <c r="BT489" s="106"/>
      <c r="BU489" s="106"/>
    </row>
    <row r="490" spans="15:73"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  <c r="AZ490" s="106"/>
      <c r="BA490" s="106"/>
      <c r="BB490" s="106"/>
      <c r="BC490" s="106"/>
      <c r="BD490" s="106"/>
      <c r="BE490" s="106"/>
      <c r="BF490" s="106"/>
      <c r="BG490" s="106"/>
      <c r="BH490" s="106"/>
      <c r="BI490" s="106"/>
      <c r="BJ490" s="106"/>
      <c r="BK490" s="106"/>
      <c r="BL490" s="106"/>
      <c r="BM490" s="106"/>
      <c r="BN490" s="106"/>
      <c r="BO490" s="106"/>
      <c r="BP490" s="106"/>
      <c r="BQ490" s="106"/>
      <c r="BR490" s="106"/>
      <c r="BS490" s="106"/>
      <c r="BT490" s="106"/>
      <c r="BU490" s="106"/>
    </row>
    <row r="491" spans="15:73"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  <c r="AZ491" s="106"/>
      <c r="BA491" s="106"/>
      <c r="BB491" s="106"/>
      <c r="BC491" s="106"/>
      <c r="BD491" s="106"/>
      <c r="BE491" s="106"/>
      <c r="BF491" s="106"/>
      <c r="BG491" s="106"/>
      <c r="BH491" s="106"/>
      <c r="BI491" s="106"/>
      <c r="BJ491" s="106"/>
      <c r="BK491" s="106"/>
      <c r="BL491" s="106"/>
      <c r="BM491" s="106"/>
      <c r="BN491" s="106"/>
      <c r="BO491" s="106"/>
      <c r="BP491" s="106"/>
      <c r="BQ491" s="106"/>
      <c r="BR491" s="106"/>
      <c r="BS491" s="106"/>
      <c r="BT491" s="106"/>
      <c r="BU491" s="106"/>
    </row>
    <row r="492" spans="15:73"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106"/>
      <c r="BA492" s="106"/>
      <c r="BB492" s="106"/>
      <c r="BC492" s="106"/>
      <c r="BD492" s="106"/>
      <c r="BE492" s="106"/>
      <c r="BF492" s="106"/>
      <c r="BG492" s="106"/>
      <c r="BH492" s="106"/>
      <c r="BI492" s="106"/>
      <c r="BJ492" s="106"/>
      <c r="BK492" s="106"/>
      <c r="BL492" s="106"/>
      <c r="BM492" s="106"/>
      <c r="BN492" s="106"/>
      <c r="BO492" s="106"/>
      <c r="BP492" s="106"/>
      <c r="BQ492" s="106"/>
      <c r="BR492" s="106"/>
      <c r="BS492" s="106"/>
      <c r="BT492" s="106"/>
      <c r="BU492" s="106"/>
    </row>
    <row r="493" spans="15:73"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  <c r="AZ493" s="106"/>
      <c r="BA493" s="106"/>
      <c r="BB493" s="106"/>
      <c r="BC493" s="106"/>
      <c r="BD493" s="106"/>
      <c r="BE493" s="106"/>
      <c r="BF493" s="106"/>
      <c r="BG493" s="106"/>
      <c r="BH493" s="106"/>
      <c r="BI493" s="106"/>
      <c r="BJ493" s="106"/>
      <c r="BK493" s="106"/>
      <c r="BL493" s="106"/>
      <c r="BM493" s="106"/>
      <c r="BN493" s="106"/>
      <c r="BO493" s="106"/>
      <c r="BP493" s="106"/>
      <c r="BQ493" s="106"/>
      <c r="BR493" s="106"/>
      <c r="BS493" s="106"/>
      <c r="BT493" s="106"/>
      <c r="BU493" s="106"/>
    </row>
    <row r="494" spans="15:73"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  <c r="AZ494" s="106"/>
      <c r="BA494" s="106"/>
      <c r="BB494" s="106"/>
      <c r="BC494" s="106"/>
      <c r="BD494" s="106"/>
      <c r="BE494" s="106"/>
      <c r="BF494" s="106"/>
      <c r="BG494" s="106"/>
      <c r="BH494" s="106"/>
      <c r="BI494" s="106"/>
      <c r="BJ494" s="106"/>
      <c r="BK494" s="106"/>
      <c r="BL494" s="106"/>
      <c r="BM494" s="106"/>
      <c r="BN494" s="106"/>
      <c r="BO494" s="106"/>
      <c r="BP494" s="106"/>
      <c r="BQ494" s="106"/>
      <c r="BR494" s="106"/>
      <c r="BS494" s="106"/>
      <c r="BT494" s="106"/>
      <c r="BU494" s="106"/>
    </row>
    <row r="495" spans="15:73"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  <c r="AZ495" s="106"/>
      <c r="BA495" s="106"/>
      <c r="BB495" s="106"/>
      <c r="BC495" s="106"/>
      <c r="BD495" s="106"/>
      <c r="BE495" s="106"/>
      <c r="BF495" s="106"/>
      <c r="BG495" s="106"/>
      <c r="BH495" s="106"/>
      <c r="BI495" s="106"/>
      <c r="BJ495" s="106"/>
      <c r="BK495" s="106"/>
      <c r="BL495" s="106"/>
      <c r="BM495" s="106"/>
      <c r="BN495" s="106"/>
      <c r="BO495" s="106"/>
      <c r="BP495" s="106"/>
      <c r="BQ495" s="106"/>
      <c r="BR495" s="106"/>
      <c r="BS495" s="106"/>
      <c r="BT495" s="106"/>
      <c r="BU495" s="106"/>
    </row>
    <row r="496" spans="15:73"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  <c r="AZ496" s="106"/>
      <c r="BA496" s="106"/>
      <c r="BB496" s="106"/>
      <c r="BC496" s="106"/>
      <c r="BD496" s="106"/>
      <c r="BE496" s="106"/>
      <c r="BF496" s="106"/>
      <c r="BG496" s="106"/>
      <c r="BH496" s="106"/>
      <c r="BI496" s="106"/>
      <c r="BJ496" s="106"/>
      <c r="BK496" s="106"/>
      <c r="BL496" s="106"/>
      <c r="BM496" s="106"/>
      <c r="BN496" s="106"/>
      <c r="BO496" s="106"/>
      <c r="BP496" s="106"/>
      <c r="BQ496" s="106"/>
      <c r="BR496" s="106"/>
      <c r="BS496" s="106"/>
      <c r="BT496" s="106"/>
      <c r="BU496" s="106"/>
    </row>
    <row r="497" spans="15:73"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  <c r="AZ497" s="106"/>
      <c r="BA497" s="106"/>
      <c r="BB497" s="106"/>
      <c r="BC497" s="106"/>
      <c r="BD497" s="106"/>
      <c r="BE497" s="106"/>
      <c r="BF497" s="106"/>
      <c r="BG497" s="106"/>
      <c r="BH497" s="106"/>
      <c r="BI497" s="106"/>
      <c r="BJ497" s="106"/>
      <c r="BK497" s="106"/>
      <c r="BL497" s="106"/>
      <c r="BM497" s="106"/>
      <c r="BN497" s="106"/>
      <c r="BO497" s="106"/>
      <c r="BP497" s="106"/>
      <c r="BQ497" s="106"/>
      <c r="BR497" s="106"/>
      <c r="BS497" s="106"/>
      <c r="BT497" s="106"/>
      <c r="BU497" s="106"/>
    </row>
    <row r="498" spans="15:73"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  <c r="AZ498" s="106"/>
      <c r="BA498" s="106"/>
      <c r="BB498" s="106"/>
      <c r="BC498" s="106"/>
      <c r="BD498" s="106"/>
      <c r="BE498" s="106"/>
      <c r="BF498" s="106"/>
      <c r="BG498" s="106"/>
      <c r="BH498" s="106"/>
      <c r="BI498" s="106"/>
      <c r="BJ498" s="106"/>
      <c r="BK498" s="106"/>
      <c r="BL498" s="106"/>
      <c r="BM498" s="106"/>
      <c r="BN498" s="106"/>
      <c r="BO498" s="106"/>
      <c r="BP498" s="106"/>
      <c r="BQ498" s="106"/>
      <c r="BR498" s="106"/>
      <c r="BS498" s="106"/>
      <c r="BT498" s="106"/>
      <c r="BU498" s="106"/>
    </row>
    <row r="499" spans="15:73"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  <c r="AZ499" s="106"/>
      <c r="BA499" s="106"/>
      <c r="BB499" s="106"/>
      <c r="BC499" s="106"/>
      <c r="BD499" s="106"/>
      <c r="BE499" s="106"/>
      <c r="BF499" s="106"/>
      <c r="BG499" s="106"/>
      <c r="BH499" s="106"/>
      <c r="BI499" s="106"/>
      <c r="BJ499" s="106"/>
      <c r="BK499" s="106"/>
      <c r="BL499" s="106"/>
      <c r="BM499" s="106"/>
      <c r="BN499" s="106"/>
      <c r="BO499" s="106"/>
      <c r="BP499" s="106"/>
      <c r="BQ499" s="106"/>
      <c r="BR499" s="106"/>
      <c r="BS499" s="106"/>
      <c r="BT499" s="106"/>
      <c r="BU499" s="106"/>
    </row>
    <row r="500" spans="15:73"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  <c r="AZ500" s="106"/>
      <c r="BA500" s="106"/>
      <c r="BB500" s="106"/>
      <c r="BC500" s="106"/>
      <c r="BD500" s="106"/>
      <c r="BE500" s="106"/>
      <c r="BF500" s="106"/>
      <c r="BG500" s="106"/>
      <c r="BH500" s="106"/>
      <c r="BI500" s="106"/>
      <c r="BJ500" s="106"/>
      <c r="BK500" s="106"/>
      <c r="BL500" s="106"/>
      <c r="BM500" s="106"/>
      <c r="BN500" s="106"/>
      <c r="BO500" s="106"/>
      <c r="BP500" s="106"/>
      <c r="BQ500" s="106"/>
      <c r="BR500" s="106"/>
      <c r="BS500" s="106"/>
      <c r="BT500" s="106"/>
      <c r="BU500" s="106"/>
    </row>
    <row r="501" spans="15:73"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  <c r="AZ501" s="106"/>
      <c r="BA501" s="106"/>
      <c r="BB501" s="106"/>
      <c r="BC501" s="106"/>
      <c r="BD501" s="106"/>
      <c r="BE501" s="106"/>
      <c r="BF501" s="106"/>
      <c r="BG501" s="106"/>
      <c r="BH501" s="106"/>
      <c r="BI501" s="106"/>
      <c r="BJ501" s="106"/>
      <c r="BK501" s="106"/>
      <c r="BL501" s="106"/>
      <c r="BM501" s="106"/>
      <c r="BN501" s="106"/>
      <c r="BO501" s="106"/>
      <c r="BP501" s="106"/>
      <c r="BQ501" s="106"/>
      <c r="BR501" s="106"/>
      <c r="BS501" s="106"/>
      <c r="BT501" s="106"/>
      <c r="BU501" s="106"/>
    </row>
    <row r="502" spans="15:73"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  <c r="AZ502" s="106"/>
      <c r="BA502" s="106"/>
      <c r="BB502" s="106"/>
      <c r="BC502" s="106"/>
      <c r="BD502" s="106"/>
      <c r="BE502" s="106"/>
      <c r="BF502" s="106"/>
      <c r="BG502" s="106"/>
      <c r="BH502" s="106"/>
      <c r="BI502" s="106"/>
      <c r="BJ502" s="106"/>
      <c r="BK502" s="106"/>
      <c r="BL502" s="106"/>
      <c r="BM502" s="106"/>
      <c r="BN502" s="106"/>
      <c r="BO502" s="106"/>
      <c r="BP502" s="106"/>
      <c r="BQ502" s="106"/>
      <c r="BR502" s="106"/>
      <c r="BS502" s="106"/>
      <c r="BT502" s="106"/>
      <c r="BU502" s="106"/>
    </row>
    <row r="503" spans="15:73"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  <c r="AZ503" s="106"/>
      <c r="BA503" s="106"/>
      <c r="BB503" s="106"/>
      <c r="BC503" s="106"/>
      <c r="BD503" s="106"/>
      <c r="BE503" s="106"/>
      <c r="BF503" s="106"/>
      <c r="BG503" s="106"/>
      <c r="BH503" s="106"/>
      <c r="BI503" s="106"/>
      <c r="BJ503" s="106"/>
      <c r="BK503" s="106"/>
      <c r="BL503" s="106"/>
      <c r="BM503" s="106"/>
      <c r="BN503" s="106"/>
      <c r="BO503" s="106"/>
      <c r="BP503" s="106"/>
      <c r="BQ503" s="106"/>
      <c r="BR503" s="106"/>
      <c r="BS503" s="106"/>
      <c r="BT503" s="106"/>
      <c r="BU503" s="106"/>
    </row>
    <row r="504" spans="15:73"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  <c r="AZ504" s="106"/>
      <c r="BA504" s="106"/>
      <c r="BB504" s="106"/>
      <c r="BC504" s="106"/>
      <c r="BD504" s="106"/>
      <c r="BE504" s="106"/>
      <c r="BF504" s="106"/>
      <c r="BG504" s="106"/>
      <c r="BH504" s="106"/>
      <c r="BI504" s="106"/>
      <c r="BJ504" s="106"/>
      <c r="BK504" s="106"/>
      <c r="BL504" s="106"/>
      <c r="BM504" s="106"/>
      <c r="BN504" s="106"/>
      <c r="BO504" s="106"/>
      <c r="BP504" s="106"/>
      <c r="BQ504" s="106"/>
      <c r="BR504" s="106"/>
      <c r="BS504" s="106"/>
      <c r="BT504" s="106"/>
      <c r="BU504" s="106"/>
    </row>
    <row r="505" spans="15:73"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  <c r="AZ505" s="106"/>
      <c r="BA505" s="106"/>
      <c r="BB505" s="106"/>
      <c r="BC505" s="106"/>
      <c r="BD505" s="106"/>
      <c r="BE505" s="106"/>
      <c r="BF505" s="106"/>
      <c r="BG505" s="106"/>
      <c r="BH505" s="106"/>
      <c r="BI505" s="106"/>
      <c r="BJ505" s="106"/>
      <c r="BK505" s="106"/>
      <c r="BL505" s="106"/>
      <c r="BM505" s="106"/>
      <c r="BN505" s="106"/>
      <c r="BO505" s="106"/>
      <c r="BP505" s="106"/>
      <c r="BQ505" s="106"/>
      <c r="BR505" s="106"/>
      <c r="BS505" s="106"/>
      <c r="BT505" s="106"/>
      <c r="BU505" s="106"/>
    </row>
    <row r="506" spans="15:73"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  <c r="AZ506" s="106"/>
      <c r="BA506" s="106"/>
      <c r="BB506" s="106"/>
      <c r="BC506" s="106"/>
      <c r="BD506" s="106"/>
      <c r="BE506" s="106"/>
      <c r="BF506" s="106"/>
      <c r="BG506" s="106"/>
      <c r="BH506" s="106"/>
      <c r="BI506" s="106"/>
      <c r="BJ506" s="106"/>
      <c r="BK506" s="106"/>
      <c r="BL506" s="106"/>
      <c r="BM506" s="106"/>
      <c r="BN506" s="106"/>
      <c r="BO506" s="106"/>
      <c r="BP506" s="106"/>
      <c r="BQ506" s="106"/>
      <c r="BR506" s="106"/>
      <c r="BS506" s="106"/>
      <c r="BT506" s="106"/>
      <c r="BU506" s="106"/>
    </row>
    <row r="507" spans="15:73"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  <c r="AZ507" s="106"/>
      <c r="BA507" s="106"/>
      <c r="BB507" s="106"/>
      <c r="BC507" s="106"/>
      <c r="BD507" s="106"/>
      <c r="BE507" s="106"/>
      <c r="BF507" s="106"/>
      <c r="BG507" s="106"/>
      <c r="BH507" s="106"/>
      <c r="BI507" s="106"/>
      <c r="BJ507" s="106"/>
      <c r="BK507" s="106"/>
      <c r="BL507" s="106"/>
      <c r="BM507" s="106"/>
      <c r="BN507" s="106"/>
      <c r="BO507" s="106"/>
      <c r="BP507" s="106"/>
      <c r="BQ507" s="106"/>
      <c r="BR507" s="106"/>
      <c r="BS507" s="106"/>
      <c r="BT507" s="106"/>
      <c r="BU507" s="106"/>
    </row>
    <row r="508" spans="15:73"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  <c r="AZ508" s="106"/>
      <c r="BA508" s="106"/>
      <c r="BB508" s="106"/>
      <c r="BC508" s="106"/>
      <c r="BD508" s="106"/>
      <c r="BE508" s="106"/>
      <c r="BF508" s="106"/>
      <c r="BG508" s="106"/>
      <c r="BH508" s="106"/>
      <c r="BI508" s="106"/>
      <c r="BJ508" s="106"/>
      <c r="BK508" s="106"/>
      <c r="BL508" s="106"/>
      <c r="BM508" s="106"/>
      <c r="BN508" s="106"/>
      <c r="BO508" s="106"/>
      <c r="BP508" s="106"/>
      <c r="BQ508" s="106"/>
      <c r="BR508" s="106"/>
      <c r="BS508" s="106"/>
      <c r="BT508" s="106"/>
      <c r="BU508" s="106"/>
    </row>
    <row r="509" spans="15:73"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  <c r="AZ509" s="106"/>
      <c r="BA509" s="106"/>
      <c r="BB509" s="106"/>
      <c r="BC509" s="106"/>
      <c r="BD509" s="106"/>
      <c r="BE509" s="106"/>
      <c r="BF509" s="106"/>
      <c r="BG509" s="106"/>
      <c r="BH509" s="106"/>
      <c r="BI509" s="106"/>
      <c r="BJ509" s="106"/>
      <c r="BK509" s="106"/>
      <c r="BL509" s="106"/>
      <c r="BM509" s="106"/>
      <c r="BN509" s="106"/>
      <c r="BO509" s="106"/>
      <c r="BP509" s="106"/>
      <c r="BQ509" s="106"/>
      <c r="BR509" s="106"/>
      <c r="BS509" s="106"/>
      <c r="BT509" s="106"/>
      <c r="BU509" s="106"/>
    </row>
    <row r="510" spans="15:73"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  <c r="AZ510" s="106"/>
      <c r="BA510" s="106"/>
      <c r="BB510" s="106"/>
      <c r="BC510" s="106"/>
      <c r="BD510" s="106"/>
      <c r="BE510" s="106"/>
      <c r="BF510" s="106"/>
      <c r="BG510" s="106"/>
      <c r="BH510" s="106"/>
      <c r="BI510" s="106"/>
      <c r="BJ510" s="106"/>
      <c r="BK510" s="106"/>
      <c r="BL510" s="106"/>
      <c r="BM510" s="106"/>
      <c r="BN510" s="106"/>
      <c r="BO510" s="106"/>
      <c r="BP510" s="106"/>
      <c r="BQ510" s="106"/>
      <c r="BR510" s="106"/>
      <c r="BS510" s="106"/>
      <c r="BT510" s="106"/>
      <c r="BU510" s="106"/>
    </row>
    <row r="511" spans="15:73"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  <c r="AZ511" s="106"/>
      <c r="BA511" s="106"/>
      <c r="BB511" s="106"/>
      <c r="BC511" s="106"/>
      <c r="BD511" s="106"/>
      <c r="BE511" s="106"/>
      <c r="BF511" s="106"/>
      <c r="BG511" s="106"/>
      <c r="BH511" s="106"/>
      <c r="BI511" s="106"/>
      <c r="BJ511" s="106"/>
      <c r="BK511" s="106"/>
      <c r="BL511" s="106"/>
      <c r="BM511" s="106"/>
      <c r="BN511" s="106"/>
      <c r="BO511" s="106"/>
      <c r="BP511" s="106"/>
      <c r="BQ511" s="106"/>
      <c r="BR511" s="106"/>
      <c r="BS511" s="106"/>
      <c r="BT511" s="106"/>
      <c r="BU511" s="106"/>
    </row>
    <row r="512" spans="15:73"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  <c r="AZ512" s="106"/>
      <c r="BA512" s="106"/>
      <c r="BB512" s="106"/>
      <c r="BC512" s="106"/>
      <c r="BD512" s="106"/>
      <c r="BE512" s="106"/>
      <c r="BF512" s="106"/>
      <c r="BG512" s="106"/>
      <c r="BH512" s="106"/>
      <c r="BI512" s="106"/>
      <c r="BJ512" s="106"/>
      <c r="BK512" s="106"/>
      <c r="BL512" s="106"/>
      <c r="BM512" s="106"/>
      <c r="BN512" s="106"/>
      <c r="BO512" s="106"/>
      <c r="BP512" s="106"/>
      <c r="BQ512" s="106"/>
      <c r="BR512" s="106"/>
      <c r="BS512" s="106"/>
      <c r="BT512" s="106"/>
      <c r="BU512" s="106"/>
    </row>
    <row r="513" spans="15:73"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  <c r="AZ513" s="106"/>
      <c r="BA513" s="106"/>
      <c r="BB513" s="106"/>
      <c r="BC513" s="106"/>
      <c r="BD513" s="106"/>
      <c r="BE513" s="106"/>
      <c r="BF513" s="106"/>
      <c r="BG513" s="106"/>
      <c r="BH513" s="106"/>
      <c r="BI513" s="106"/>
      <c r="BJ513" s="106"/>
      <c r="BK513" s="106"/>
      <c r="BL513" s="106"/>
      <c r="BM513" s="106"/>
      <c r="BN513" s="106"/>
      <c r="BO513" s="106"/>
      <c r="BP513" s="106"/>
      <c r="BQ513" s="106"/>
      <c r="BR513" s="106"/>
      <c r="BS513" s="106"/>
      <c r="BT513" s="106"/>
      <c r="BU513" s="106"/>
    </row>
    <row r="514" spans="15:73"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  <c r="AZ514" s="106"/>
      <c r="BA514" s="106"/>
      <c r="BB514" s="106"/>
      <c r="BC514" s="106"/>
      <c r="BD514" s="106"/>
      <c r="BE514" s="106"/>
      <c r="BF514" s="106"/>
      <c r="BG514" s="106"/>
      <c r="BH514" s="106"/>
      <c r="BI514" s="106"/>
      <c r="BJ514" s="106"/>
      <c r="BK514" s="106"/>
      <c r="BL514" s="106"/>
      <c r="BM514" s="106"/>
      <c r="BN514" s="106"/>
      <c r="BO514" s="106"/>
      <c r="BP514" s="106"/>
      <c r="BQ514" s="106"/>
      <c r="BR514" s="106"/>
      <c r="BS514" s="106"/>
      <c r="BT514" s="106"/>
      <c r="BU514" s="106"/>
    </row>
    <row r="515" spans="15:73"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  <c r="AZ515" s="106"/>
      <c r="BA515" s="106"/>
      <c r="BB515" s="106"/>
      <c r="BC515" s="106"/>
      <c r="BD515" s="106"/>
      <c r="BE515" s="106"/>
      <c r="BF515" s="106"/>
      <c r="BG515" s="106"/>
      <c r="BH515" s="106"/>
      <c r="BI515" s="106"/>
      <c r="BJ515" s="106"/>
      <c r="BK515" s="106"/>
      <c r="BL515" s="106"/>
      <c r="BM515" s="106"/>
      <c r="BN515" s="106"/>
      <c r="BO515" s="106"/>
      <c r="BP515" s="106"/>
      <c r="BQ515" s="106"/>
      <c r="BR515" s="106"/>
      <c r="BS515" s="106"/>
      <c r="BT515" s="106"/>
      <c r="BU515" s="106"/>
    </row>
    <row r="516" spans="15:73"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  <c r="AZ516" s="106"/>
      <c r="BA516" s="106"/>
      <c r="BB516" s="106"/>
      <c r="BC516" s="106"/>
      <c r="BD516" s="106"/>
      <c r="BE516" s="106"/>
      <c r="BF516" s="106"/>
      <c r="BG516" s="106"/>
      <c r="BH516" s="106"/>
      <c r="BI516" s="106"/>
      <c r="BJ516" s="106"/>
      <c r="BK516" s="106"/>
      <c r="BL516" s="106"/>
      <c r="BM516" s="106"/>
      <c r="BN516" s="106"/>
      <c r="BO516" s="106"/>
      <c r="BP516" s="106"/>
      <c r="BQ516" s="106"/>
      <c r="BR516" s="106"/>
      <c r="BS516" s="106"/>
      <c r="BT516" s="106"/>
      <c r="BU516" s="106"/>
    </row>
    <row r="517" spans="15:73"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  <c r="AZ517" s="106"/>
      <c r="BA517" s="106"/>
      <c r="BB517" s="106"/>
      <c r="BC517" s="106"/>
      <c r="BD517" s="106"/>
      <c r="BE517" s="106"/>
      <c r="BF517" s="106"/>
      <c r="BG517" s="106"/>
      <c r="BH517" s="106"/>
      <c r="BI517" s="106"/>
      <c r="BJ517" s="106"/>
      <c r="BK517" s="106"/>
      <c r="BL517" s="106"/>
      <c r="BM517" s="106"/>
      <c r="BN517" s="106"/>
      <c r="BO517" s="106"/>
      <c r="BP517" s="106"/>
      <c r="BQ517" s="106"/>
      <c r="BR517" s="106"/>
      <c r="BS517" s="106"/>
      <c r="BT517" s="106"/>
      <c r="BU517" s="106"/>
    </row>
    <row r="518" spans="15:73"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  <c r="AZ518" s="106"/>
      <c r="BA518" s="106"/>
      <c r="BB518" s="106"/>
      <c r="BC518" s="106"/>
      <c r="BD518" s="106"/>
      <c r="BE518" s="106"/>
      <c r="BF518" s="106"/>
      <c r="BG518" s="106"/>
      <c r="BH518" s="106"/>
      <c r="BI518" s="106"/>
      <c r="BJ518" s="106"/>
      <c r="BK518" s="106"/>
      <c r="BL518" s="106"/>
      <c r="BM518" s="106"/>
      <c r="BN518" s="106"/>
      <c r="BO518" s="106"/>
      <c r="BP518" s="106"/>
      <c r="BQ518" s="106"/>
      <c r="BR518" s="106"/>
      <c r="BS518" s="106"/>
      <c r="BT518" s="106"/>
      <c r="BU518" s="106"/>
    </row>
    <row r="519" spans="15:73"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  <c r="AZ519" s="106"/>
      <c r="BA519" s="106"/>
      <c r="BB519" s="106"/>
      <c r="BC519" s="106"/>
      <c r="BD519" s="106"/>
      <c r="BE519" s="106"/>
      <c r="BF519" s="106"/>
      <c r="BG519" s="106"/>
      <c r="BH519" s="106"/>
      <c r="BI519" s="106"/>
      <c r="BJ519" s="106"/>
      <c r="BK519" s="106"/>
      <c r="BL519" s="106"/>
      <c r="BM519" s="106"/>
      <c r="BN519" s="106"/>
      <c r="BO519" s="106"/>
      <c r="BP519" s="106"/>
      <c r="BQ519" s="106"/>
      <c r="BR519" s="106"/>
      <c r="BS519" s="106"/>
      <c r="BT519" s="106"/>
      <c r="BU519" s="106"/>
    </row>
    <row r="520" spans="15:73"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  <c r="AZ520" s="106"/>
      <c r="BA520" s="106"/>
      <c r="BB520" s="106"/>
      <c r="BC520" s="106"/>
      <c r="BD520" s="106"/>
      <c r="BE520" s="106"/>
      <c r="BF520" s="106"/>
      <c r="BG520" s="106"/>
      <c r="BH520" s="106"/>
      <c r="BI520" s="106"/>
      <c r="BJ520" s="106"/>
      <c r="BK520" s="106"/>
      <c r="BL520" s="106"/>
      <c r="BM520" s="106"/>
      <c r="BN520" s="106"/>
      <c r="BO520" s="106"/>
      <c r="BP520" s="106"/>
      <c r="BQ520" s="106"/>
      <c r="BR520" s="106"/>
      <c r="BS520" s="106"/>
      <c r="BT520" s="106"/>
      <c r="BU520" s="106"/>
    </row>
    <row r="521" spans="15:73"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  <c r="AZ521" s="106"/>
      <c r="BA521" s="106"/>
      <c r="BB521" s="106"/>
      <c r="BC521" s="106"/>
      <c r="BD521" s="106"/>
      <c r="BE521" s="106"/>
      <c r="BF521" s="106"/>
      <c r="BG521" s="106"/>
      <c r="BH521" s="106"/>
      <c r="BI521" s="106"/>
      <c r="BJ521" s="106"/>
      <c r="BK521" s="106"/>
      <c r="BL521" s="106"/>
      <c r="BM521" s="106"/>
      <c r="BN521" s="106"/>
      <c r="BO521" s="106"/>
      <c r="BP521" s="106"/>
      <c r="BQ521" s="106"/>
      <c r="BR521" s="106"/>
      <c r="BS521" s="106"/>
      <c r="BT521" s="106"/>
      <c r="BU521" s="106"/>
    </row>
    <row r="522" spans="15:73"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  <c r="AZ522" s="106"/>
      <c r="BA522" s="106"/>
      <c r="BB522" s="106"/>
      <c r="BC522" s="106"/>
      <c r="BD522" s="106"/>
      <c r="BE522" s="106"/>
      <c r="BF522" s="106"/>
      <c r="BG522" s="106"/>
      <c r="BH522" s="106"/>
      <c r="BI522" s="106"/>
      <c r="BJ522" s="106"/>
      <c r="BK522" s="106"/>
      <c r="BL522" s="106"/>
      <c r="BM522" s="106"/>
      <c r="BN522" s="106"/>
      <c r="BO522" s="106"/>
      <c r="BP522" s="106"/>
      <c r="BQ522" s="106"/>
      <c r="BR522" s="106"/>
      <c r="BS522" s="106"/>
      <c r="BT522" s="106"/>
      <c r="BU522" s="106"/>
    </row>
    <row r="523" spans="15:73"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  <c r="AZ523" s="106"/>
      <c r="BA523" s="106"/>
      <c r="BB523" s="106"/>
      <c r="BC523" s="106"/>
      <c r="BD523" s="106"/>
      <c r="BE523" s="106"/>
      <c r="BF523" s="106"/>
      <c r="BG523" s="106"/>
      <c r="BH523" s="106"/>
      <c r="BI523" s="106"/>
      <c r="BJ523" s="106"/>
      <c r="BK523" s="106"/>
      <c r="BL523" s="106"/>
      <c r="BM523" s="106"/>
      <c r="BN523" s="106"/>
      <c r="BO523" s="106"/>
      <c r="BP523" s="106"/>
      <c r="BQ523" s="106"/>
      <c r="BR523" s="106"/>
      <c r="BS523" s="106"/>
      <c r="BT523" s="106"/>
      <c r="BU523" s="106"/>
    </row>
    <row r="524" spans="15:73"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  <c r="AZ524" s="106"/>
      <c r="BA524" s="106"/>
      <c r="BB524" s="106"/>
      <c r="BC524" s="106"/>
      <c r="BD524" s="106"/>
      <c r="BE524" s="106"/>
      <c r="BF524" s="106"/>
      <c r="BG524" s="106"/>
      <c r="BH524" s="106"/>
      <c r="BI524" s="106"/>
      <c r="BJ524" s="106"/>
      <c r="BK524" s="106"/>
      <c r="BL524" s="106"/>
      <c r="BM524" s="106"/>
      <c r="BN524" s="106"/>
      <c r="BO524" s="106"/>
      <c r="BP524" s="106"/>
      <c r="BQ524" s="106"/>
      <c r="BR524" s="106"/>
      <c r="BS524" s="106"/>
      <c r="BT524" s="106"/>
      <c r="BU524" s="106"/>
    </row>
    <row r="525" spans="15:73"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  <c r="AZ525" s="106"/>
      <c r="BA525" s="106"/>
      <c r="BB525" s="106"/>
      <c r="BC525" s="106"/>
      <c r="BD525" s="106"/>
      <c r="BE525" s="106"/>
      <c r="BF525" s="106"/>
      <c r="BG525" s="106"/>
      <c r="BH525" s="106"/>
      <c r="BI525" s="106"/>
      <c r="BJ525" s="106"/>
      <c r="BK525" s="106"/>
      <c r="BL525" s="106"/>
      <c r="BM525" s="106"/>
      <c r="BN525" s="106"/>
      <c r="BO525" s="106"/>
      <c r="BP525" s="106"/>
      <c r="BQ525" s="106"/>
      <c r="BR525" s="106"/>
      <c r="BS525" s="106"/>
      <c r="BT525" s="106"/>
      <c r="BU525" s="106"/>
    </row>
    <row r="526" spans="15:73"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  <c r="AZ526" s="106"/>
      <c r="BA526" s="106"/>
      <c r="BB526" s="106"/>
      <c r="BC526" s="106"/>
      <c r="BD526" s="106"/>
      <c r="BE526" s="106"/>
      <c r="BF526" s="106"/>
      <c r="BG526" s="106"/>
      <c r="BH526" s="106"/>
      <c r="BI526" s="106"/>
      <c r="BJ526" s="106"/>
      <c r="BK526" s="106"/>
      <c r="BL526" s="106"/>
      <c r="BM526" s="106"/>
      <c r="BN526" s="106"/>
      <c r="BO526" s="106"/>
      <c r="BP526" s="106"/>
      <c r="BQ526" s="106"/>
      <c r="BR526" s="106"/>
      <c r="BS526" s="106"/>
      <c r="BT526" s="106"/>
      <c r="BU526" s="106"/>
    </row>
    <row r="527" spans="15:73"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  <c r="AZ527" s="106"/>
      <c r="BA527" s="106"/>
      <c r="BB527" s="106"/>
      <c r="BC527" s="106"/>
      <c r="BD527" s="106"/>
      <c r="BE527" s="106"/>
      <c r="BF527" s="106"/>
      <c r="BG527" s="106"/>
      <c r="BH527" s="106"/>
      <c r="BI527" s="106"/>
      <c r="BJ527" s="106"/>
      <c r="BK527" s="106"/>
      <c r="BL527" s="106"/>
      <c r="BM527" s="106"/>
      <c r="BN527" s="106"/>
      <c r="BO527" s="106"/>
      <c r="BP527" s="106"/>
      <c r="BQ527" s="106"/>
      <c r="BR527" s="106"/>
      <c r="BS527" s="106"/>
      <c r="BT527" s="106"/>
      <c r="BU527" s="106"/>
    </row>
    <row r="528" spans="15:73"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  <c r="AZ528" s="106"/>
      <c r="BA528" s="106"/>
      <c r="BB528" s="106"/>
      <c r="BC528" s="106"/>
      <c r="BD528" s="106"/>
      <c r="BE528" s="106"/>
      <c r="BF528" s="106"/>
      <c r="BG528" s="106"/>
      <c r="BH528" s="106"/>
      <c r="BI528" s="106"/>
      <c r="BJ528" s="106"/>
      <c r="BK528" s="106"/>
      <c r="BL528" s="106"/>
      <c r="BM528" s="106"/>
      <c r="BN528" s="106"/>
      <c r="BO528" s="106"/>
      <c r="BP528" s="106"/>
      <c r="BQ528" s="106"/>
      <c r="BR528" s="106"/>
      <c r="BS528" s="106"/>
      <c r="BT528" s="106"/>
      <c r="BU528" s="106"/>
    </row>
    <row r="529" spans="15:73"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  <c r="AZ529" s="106"/>
      <c r="BA529" s="106"/>
      <c r="BB529" s="106"/>
      <c r="BC529" s="106"/>
      <c r="BD529" s="106"/>
      <c r="BE529" s="106"/>
      <c r="BF529" s="106"/>
      <c r="BG529" s="106"/>
      <c r="BH529" s="106"/>
      <c r="BI529" s="106"/>
      <c r="BJ529" s="106"/>
      <c r="BK529" s="106"/>
      <c r="BL529" s="106"/>
      <c r="BM529" s="106"/>
      <c r="BN529" s="106"/>
      <c r="BO529" s="106"/>
      <c r="BP529" s="106"/>
      <c r="BQ529" s="106"/>
      <c r="BR529" s="106"/>
      <c r="BS529" s="106"/>
      <c r="BT529" s="106"/>
      <c r="BU529" s="106"/>
    </row>
    <row r="530" spans="15:73"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  <c r="AZ530" s="106"/>
      <c r="BA530" s="106"/>
      <c r="BB530" s="106"/>
      <c r="BC530" s="106"/>
      <c r="BD530" s="106"/>
      <c r="BE530" s="106"/>
      <c r="BF530" s="106"/>
      <c r="BG530" s="106"/>
      <c r="BH530" s="106"/>
      <c r="BI530" s="106"/>
      <c r="BJ530" s="106"/>
      <c r="BK530" s="106"/>
      <c r="BL530" s="106"/>
      <c r="BM530" s="106"/>
      <c r="BN530" s="106"/>
      <c r="BO530" s="106"/>
      <c r="BP530" s="106"/>
      <c r="BQ530" s="106"/>
      <c r="BR530" s="106"/>
      <c r="BS530" s="106"/>
      <c r="BT530" s="106"/>
      <c r="BU530" s="106"/>
    </row>
    <row r="531" spans="15:73"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  <c r="AZ531" s="106"/>
      <c r="BA531" s="106"/>
      <c r="BB531" s="106"/>
      <c r="BC531" s="106"/>
      <c r="BD531" s="106"/>
      <c r="BE531" s="106"/>
      <c r="BF531" s="106"/>
      <c r="BG531" s="106"/>
      <c r="BH531" s="106"/>
      <c r="BI531" s="106"/>
      <c r="BJ531" s="106"/>
      <c r="BK531" s="106"/>
      <c r="BL531" s="106"/>
      <c r="BM531" s="106"/>
      <c r="BN531" s="106"/>
      <c r="BO531" s="106"/>
      <c r="BP531" s="106"/>
      <c r="BQ531" s="106"/>
      <c r="BR531" s="106"/>
      <c r="BS531" s="106"/>
      <c r="BT531" s="106"/>
      <c r="BU531" s="106"/>
    </row>
    <row r="532" spans="15:73"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  <c r="AZ532" s="106"/>
      <c r="BA532" s="106"/>
      <c r="BB532" s="106"/>
      <c r="BC532" s="106"/>
      <c r="BD532" s="106"/>
      <c r="BE532" s="106"/>
      <c r="BF532" s="106"/>
      <c r="BG532" s="106"/>
      <c r="BH532" s="106"/>
      <c r="BI532" s="106"/>
      <c r="BJ532" s="106"/>
      <c r="BK532" s="106"/>
      <c r="BL532" s="106"/>
      <c r="BM532" s="106"/>
      <c r="BN532" s="106"/>
      <c r="BO532" s="106"/>
      <c r="BP532" s="106"/>
      <c r="BQ532" s="106"/>
      <c r="BR532" s="106"/>
      <c r="BS532" s="106"/>
      <c r="BT532" s="106"/>
      <c r="BU532" s="106"/>
    </row>
    <row r="533" spans="15:73"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  <c r="AZ533" s="106"/>
      <c r="BA533" s="106"/>
      <c r="BB533" s="106"/>
      <c r="BC533" s="106"/>
      <c r="BD533" s="106"/>
      <c r="BE533" s="106"/>
      <c r="BF533" s="106"/>
      <c r="BG533" s="106"/>
      <c r="BH533" s="106"/>
      <c r="BI533" s="106"/>
      <c r="BJ533" s="106"/>
      <c r="BK533" s="106"/>
      <c r="BL533" s="106"/>
      <c r="BM533" s="106"/>
      <c r="BN533" s="106"/>
      <c r="BO533" s="106"/>
      <c r="BP533" s="106"/>
      <c r="BQ533" s="106"/>
      <c r="BR533" s="106"/>
      <c r="BS533" s="106"/>
      <c r="BT533" s="106"/>
      <c r="BU533" s="106"/>
    </row>
    <row r="534" spans="15:73"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  <c r="AZ534" s="106"/>
      <c r="BA534" s="106"/>
      <c r="BB534" s="106"/>
      <c r="BC534" s="106"/>
      <c r="BD534" s="106"/>
      <c r="BE534" s="106"/>
      <c r="BF534" s="106"/>
      <c r="BG534" s="106"/>
      <c r="BH534" s="106"/>
      <c r="BI534" s="106"/>
      <c r="BJ534" s="106"/>
      <c r="BK534" s="106"/>
      <c r="BL534" s="106"/>
      <c r="BM534" s="106"/>
      <c r="BN534" s="106"/>
      <c r="BO534" s="106"/>
      <c r="BP534" s="106"/>
      <c r="BQ534" s="106"/>
      <c r="BR534" s="106"/>
      <c r="BS534" s="106"/>
      <c r="BT534" s="106"/>
      <c r="BU534" s="106"/>
    </row>
    <row r="535" spans="15:73"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  <c r="AZ535" s="106"/>
      <c r="BA535" s="106"/>
      <c r="BB535" s="106"/>
      <c r="BC535" s="106"/>
      <c r="BD535" s="106"/>
      <c r="BE535" s="106"/>
      <c r="BF535" s="106"/>
      <c r="BG535" s="106"/>
      <c r="BH535" s="106"/>
      <c r="BI535" s="106"/>
      <c r="BJ535" s="106"/>
      <c r="BK535" s="106"/>
      <c r="BL535" s="106"/>
      <c r="BM535" s="106"/>
      <c r="BN535" s="106"/>
      <c r="BO535" s="106"/>
      <c r="BP535" s="106"/>
      <c r="BQ535" s="106"/>
      <c r="BR535" s="106"/>
      <c r="BS535" s="106"/>
      <c r="BT535" s="106"/>
      <c r="BU535" s="106"/>
    </row>
    <row r="536" spans="15:73"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  <c r="AZ536" s="106"/>
      <c r="BA536" s="106"/>
      <c r="BB536" s="106"/>
      <c r="BC536" s="106"/>
      <c r="BD536" s="106"/>
      <c r="BE536" s="106"/>
      <c r="BF536" s="106"/>
      <c r="BG536" s="106"/>
      <c r="BH536" s="106"/>
      <c r="BI536" s="106"/>
      <c r="BJ536" s="106"/>
      <c r="BK536" s="106"/>
      <c r="BL536" s="106"/>
      <c r="BM536" s="106"/>
      <c r="BN536" s="106"/>
      <c r="BO536" s="106"/>
      <c r="BP536" s="106"/>
      <c r="BQ536" s="106"/>
      <c r="BR536" s="106"/>
      <c r="BS536" s="106"/>
      <c r="BT536" s="106"/>
      <c r="BU536" s="106"/>
    </row>
    <row r="537" spans="15:73"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  <c r="AZ537" s="106"/>
      <c r="BA537" s="106"/>
      <c r="BB537" s="106"/>
      <c r="BC537" s="106"/>
      <c r="BD537" s="106"/>
      <c r="BE537" s="106"/>
      <c r="BF537" s="106"/>
      <c r="BG537" s="106"/>
      <c r="BH537" s="106"/>
      <c r="BI537" s="106"/>
      <c r="BJ537" s="106"/>
      <c r="BK537" s="106"/>
      <c r="BL537" s="106"/>
      <c r="BM537" s="106"/>
      <c r="BN537" s="106"/>
      <c r="BO537" s="106"/>
      <c r="BP537" s="106"/>
      <c r="BQ537" s="106"/>
      <c r="BR537" s="106"/>
      <c r="BS537" s="106"/>
      <c r="BT537" s="106"/>
      <c r="BU537" s="106"/>
    </row>
    <row r="538" spans="15:73"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  <c r="AZ538" s="106"/>
      <c r="BA538" s="106"/>
      <c r="BB538" s="106"/>
      <c r="BC538" s="106"/>
      <c r="BD538" s="106"/>
      <c r="BE538" s="106"/>
      <c r="BF538" s="106"/>
      <c r="BG538" s="106"/>
      <c r="BH538" s="106"/>
      <c r="BI538" s="106"/>
      <c r="BJ538" s="106"/>
      <c r="BK538" s="106"/>
      <c r="BL538" s="106"/>
      <c r="BM538" s="106"/>
      <c r="BN538" s="106"/>
      <c r="BO538" s="106"/>
      <c r="BP538" s="106"/>
      <c r="BQ538" s="106"/>
      <c r="BR538" s="106"/>
      <c r="BS538" s="106"/>
      <c r="BT538" s="106"/>
      <c r="BU538" s="106"/>
    </row>
    <row r="539" spans="15:73"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  <c r="AJ539" s="106"/>
      <c r="AK539" s="106"/>
      <c r="AL539" s="106"/>
      <c r="AM539" s="106"/>
      <c r="AN539" s="106"/>
      <c r="AO539" s="106"/>
      <c r="AP539" s="106"/>
      <c r="AQ539" s="106"/>
      <c r="AR539" s="106"/>
      <c r="AS539" s="106"/>
      <c r="AT539" s="106"/>
      <c r="AU539" s="106"/>
      <c r="AV539" s="106"/>
      <c r="AW539" s="106"/>
      <c r="AX539" s="106"/>
      <c r="AY539" s="106"/>
      <c r="AZ539" s="106"/>
      <c r="BA539" s="106"/>
      <c r="BB539" s="106"/>
      <c r="BC539" s="106"/>
      <c r="BD539" s="106"/>
      <c r="BE539" s="106"/>
      <c r="BF539" s="106"/>
      <c r="BG539" s="106"/>
      <c r="BH539" s="106"/>
      <c r="BI539" s="106"/>
      <c r="BJ539" s="106"/>
      <c r="BK539" s="106"/>
      <c r="BL539" s="106"/>
      <c r="BM539" s="106"/>
      <c r="BN539" s="106"/>
      <c r="BO539" s="106"/>
      <c r="BP539" s="106"/>
      <c r="BQ539" s="106"/>
      <c r="BR539" s="106"/>
      <c r="BS539" s="106"/>
      <c r="BT539" s="106"/>
      <c r="BU539" s="106"/>
    </row>
  </sheetData>
  <dataConsolidate link="1"/>
  <phoneticPr fontId="28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6"/>
  <sheetViews>
    <sheetView showGridLines="0" zoomScale="85" zoomScaleNormal="85" workbookViewId="0"/>
  </sheetViews>
  <sheetFormatPr defaultColWidth="9.109375" defaultRowHeight="13.2"/>
  <cols>
    <col min="1" max="1" width="16" customWidth="1"/>
    <col min="2" max="2" width="12.33203125" bestFit="1" customWidth="1"/>
    <col min="3" max="3" width="13" bestFit="1" customWidth="1"/>
    <col min="4" max="4" width="8.6640625" bestFit="1" customWidth="1"/>
    <col min="5" max="5" width="11.5546875" bestFit="1" customWidth="1"/>
    <col min="6" max="6" width="1.6640625" customWidth="1"/>
    <col min="7" max="9" width="11.554687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3.8">
      <c r="A2" s="16"/>
      <c r="B2" s="161" t="s">
        <v>57</v>
      </c>
      <c r="C2" s="161"/>
      <c r="D2" s="161"/>
      <c r="E2" s="161"/>
      <c r="F2" s="16"/>
      <c r="G2" s="161" t="s">
        <v>58</v>
      </c>
      <c r="H2" s="161"/>
      <c r="I2" s="161"/>
      <c r="J2" s="16"/>
    </row>
    <row r="3" spans="1:12" ht="13.8">
      <c r="A3" s="16" t="s">
        <v>17</v>
      </c>
      <c r="B3" s="18" t="s">
        <v>20</v>
      </c>
      <c r="C3" s="21"/>
      <c r="D3" s="21"/>
      <c r="E3" s="21"/>
      <c r="F3" s="21"/>
      <c r="G3" s="21"/>
      <c r="H3" s="21"/>
      <c r="I3" s="21"/>
      <c r="J3" s="18" t="s">
        <v>59</v>
      </c>
    </row>
    <row r="4" spans="1:12" ht="13.8">
      <c r="A4" s="22" t="s">
        <v>60</v>
      </c>
      <c r="B4" s="24" t="s">
        <v>61</v>
      </c>
      <c r="C4" s="24" t="s">
        <v>26</v>
      </c>
      <c r="D4" s="24" t="s">
        <v>27</v>
      </c>
      <c r="E4" s="26" t="s">
        <v>62</v>
      </c>
      <c r="F4" s="25"/>
      <c r="G4" s="24" t="s">
        <v>63</v>
      </c>
      <c r="H4" s="24" t="s">
        <v>64</v>
      </c>
      <c r="I4" s="24" t="s">
        <v>62</v>
      </c>
      <c r="J4" s="24" t="s">
        <v>65</v>
      </c>
    </row>
    <row r="5" spans="1:12" ht="14.4">
      <c r="A5" s="16"/>
      <c r="B5" s="162" t="s">
        <v>66</v>
      </c>
      <c r="C5" s="162"/>
      <c r="D5" s="162"/>
      <c r="E5" s="162"/>
      <c r="F5" s="162"/>
      <c r="G5" s="162"/>
      <c r="H5" s="162"/>
      <c r="I5" s="162"/>
      <c r="J5" s="162"/>
    </row>
    <row r="6" spans="1:12" ht="13.8">
      <c r="A6" s="16" t="s">
        <v>37</v>
      </c>
      <c r="B6" s="44">
        <v>340.786</v>
      </c>
      <c r="C6" s="45">
        <f>C23</f>
        <v>51814.455000000002</v>
      </c>
      <c r="D6" s="45">
        <f>D23</f>
        <v>649.11497484899996</v>
      </c>
      <c r="E6" s="33">
        <f>E23</f>
        <v>52804.355974849001</v>
      </c>
      <c r="F6" s="45"/>
      <c r="G6" s="45">
        <f>G23</f>
        <v>38969.617926673003</v>
      </c>
      <c r="H6" s="45">
        <f>H23</f>
        <v>13523.811048175998</v>
      </c>
      <c r="I6" s="45">
        <f>I23</f>
        <v>52493.428974849005</v>
      </c>
      <c r="J6" s="45">
        <f>J22</f>
        <v>310.92700000000002</v>
      </c>
    </row>
    <row r="7" spans="1:12" ht="16.2">
      <c r="A7" s="16" t="s">
        <v>188</v>
      </c>
      <c r="B7" s="44">
        <f>J6</f>
        <v>310.92700000000002</v>
      </c>
      <c r="C7" s="45">
        <v>52464.072999999997</v>
      </c>
      <c r="D7" s="45">
        <v>675</v>
      </c>
      <c r="E7" s="33">
        <f>SUM(B7:D7)</f>
        <v>53450</v>
      </c>
      <c r="F7" s="45"/>
      <c r="G7" s="45">
        <v>39300</v>
      </c>
      <c r="H7" s="45">
        <v>13800</v>
      </c>
      <c r="I7" s="45">
        <f>E7-J7</f>
        <v>53100</v>
      </c>
      <c r="J7" s="45">
        <v>350</v>
      </c>
    </row>
    <row r="8" spans="1:12" ht="16.2">
      <c r="A8" s="16" t="s">
        <v>187</v>
      </c>
      <c r="B8" s="44">
        <f>J7</f>
        <v>350</v>
      </c>
      <c r="C8" s="45">
        <v>54375</v>
      </c>
      <c r="D8" s="45">
        <v>650</v>
      </c>
      <c r="E8" s="33">
        <f>SUM(B8:D8)</f>
        <v>55375</v>
      </c>
      <c r="F8" s="45"/>
      <c r="G8" s="45">
        <v>40175</v>
      </c>
      <c r="H8" s="45">
        <v>14800</v>
      </c>
      <c r="I8" s="45">
        <f>E8-J8</f>
        <v>54975</v>
      </c>
      <c r="J8" s="45">
        <v>400</v>
      </c>
    </row>
    <row r="9" spans="1:12" ht="13.8">
      <c r="A9" s="16"/>
      <c r="B9" s="46"/>
      <c r="C9" s="46"/>
      <c r="D9" s="46"/>
      <c r="E9" s="46"/>
      <c r="F9" s="46"/>
      <c r="G9" s="45"/>
      <c r="H9" s="46"/>
      <c r="I9" s="46"/>
      <c r="J9" s="46"/>
    </row>
    <row r="10" spans="1:12" ht="13.8">
      <c r="A10" s="36" t="s">
        <v>37</v>
      </c>
      <c r="B10" s="47"/>
      <c r="C10" s="6"/>
      <c r="D10" s="6"/>
      <c r="E10" s="6"/>
      <c r="F10" s="6"/>
      <c r="G10" s="6"/>
      <c r="H10" s="6"/>
      <c r="I10" s="6"/>
      <c r="J10" s="6"/>
    </row>
    <row r="11" spans="1:12" ht="14.4">
      <c r="A11" s="16" t="s">
        <v>39</v>
      </c>
      <c r="B11" s="47">
        <f>B6</f>
        <v>340.786</v>
      </c>
      <c r="C11" s="6">
        <v>4591.6390000000001</v>
      </c>
      <c r="D11" s="6">
        <f>(56544.8*1.10231)/1000</f>
        <v>62.329898487999998</v>
      </c>
      <c r="E11" s="6">
        <f t="shared" ref="E11:E22" si="0">SUM(B11:D11)</f>
        <v>4994.7548984880004</v>
      </c>
      <c r="F11" s="6"/>
      <c r="G11" s="6">
        <f t="shared" ref="G11:G22" si="1">I11-H11</f>
        <v>3492.8235415470008</v>
      </c>
      <c r="H11" s="6">
        <f>(989241.1*1.10231)/1000</f>
        <v>1090.4503569409999</v>
      </c>
      <c r="I11" s="5">
        <f t="shared" ref="I11:I22" si="2">E11-J11</f>
        <v>4583.2738984880007</v>
      </c>
      <c r="J11" s="6">
        <v>411.48099999999999</v>
      </c>
      <c r="K11" s="107"/>
      <c r="L11" s="111"/>
    </row>
    <row r="12" spans="1:12" ht="14.4">
      <c r="A12" s="16" t="s">
        <v>40</v>
      </c>
      <c r="B12" s="47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3282.1204081570004</v>
      </c>
      <c r="H12" s="6">
        <f>(1131890.6*1.10231)/1000</f>
        <v>1247.6943272859999</v>
      </c>
      <c r="I12" s="5">
        <f t="shared" si="2"/>
        <v>4529.8147354430002</v>
      </c>
      <c r="J12" s="6">
        <v>375.61200000000002</v>
      </c>
      <c r="K12" s="107"/>
      <c r="L12" s="111"/>
    </row>
    <row r="13" spans="1:12" ht="14.4">
      <c r="A13" s="16" t="s">
        <v>42</v>
      </c>
      <c r="B13" s="47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3224.487584683</v>
      </c>
      <c r="H13" s="6">
        <f>(1275842.3*1.10231)/1000</f>
        <v>1406.3737257129999</v>
      </c>
      <c r="I13" s="5">
        <f t="shared" si="2"/>
        <v>4630.8613103959997</v>
      </c>
      <c r="J13" s="6">
        <v>411.30900000000003</v>
      </c>
      <c r="K13" s="107"/>
      <c r="L13" s="111"/>
    </row>
    <row r="14" spans="1:12" ht="14.4">
      <c r="A14" s="16" t="s">
        <v>43</v>
      </c>
      <c r="B14" s="47">
        <f t="shared" si="3"/>
        <v>411.30900000000003</v>
      </c>
      <c r="C14" s="6">
        <v>4533.1530000000002</v>
      </c>
      <c r="D14" s="6">
        <f>(40167.4*1.10231)/1000</f>
        <v>44.276926693999997</v>
      </c>
      <c r="E14" s="6">
        <f t="shared" si="0"/>
        <v>4988.7389266940008</v>
      </c>
      <c r="F14" s="6"/>
      <c r="G14" s="6">
        <f t="shared" si="1"/>
        <v>3259.9617703520012</v>
      </c>
      <c r="H14" s="6">
        <f>(1177548.2*1.10231)/1000</f>
        <v>1298.0231563419998</v>
      </c>
      <c r="I14" s="5">
        <f t="shared" si="2"/>
        <v>4557.9849266940009</v>
      </c>
      <c r="J14" s="6">
        <v>430.75400000000002</v>
      </c>
      <c r="K14" s="107"/>
      <c r="L14" s="111"/>
    </row>
    <row r="15" spans="1:12" ht="14.4">
      <c r="A15" s="16" t="s">
        <v>44</v>
      </c>
      <c r="B15" s="47">
        <f t="shared" si="3"/>
        <v>430.75400000000002</v>
      </c>
      <c r="C15" s="6">
        <v>4089.9549999999999</v>
      </c>
      <c r="D15" s="6">
        <f>(46777.6*1.10231)/1000</f>
        <v>51.563416255999996</v>
      </c>
      <c r="E15" s="6">
        <f t="shared" si="0"/>
        <v>4572.2724162559998</v>
      </c>
      <c r="F15" s="6"/>
      <c r="G15" s="6">
        <f t="shared" si="1"/>
        <v>3104.2082034579998</v>
      </c>
      <c r="H15" s="6">
        <f>(981745.8*1.10231)/1000</f>
        <v>1082.1882127979998</v>
      </c>
      <c r="I15" s="5">
        <f t="shared" si="2"/>
        <v>4186.3964162559996</v>
      </c>
      <c r="J15" s="6">
        <v>385.87600000000003</v>
      </c>
      <c r="K15" s="107"/>
      <c r="L15" s="111"/>
    </row>
    <row r="16" spans="1:12" ht="14.4">
      <c r="A16" s="16" t="s">
        <v>46</v>
      </c>
      <c r="B16" s="47">
        <f t="shared" si="3"/>
        <v>385.87600000000003</v>
      </c>
      <c r="C16" s="6">
        <v>4549.6310000000003</v>
      </c>
      <c r="D16" s="6">
        <f>(36598.4*1.10231)/1000</f>
        <v>40.342782304000004</v>
      </c>
      <c r="E16" s="6">
        <f t="shared" si="0"/>
        <v>4975.8497823040007</v>
      </c>
      <c r="F16" s="6"/>
      <c r="G16" s="6">
        <f t="shared" si="1"/>
        <v>3397.5364563470011</v>
      </c>
      <c r="H16" s="6">
        <f>(1086214.7*1.10231)/1000</f>
        <v>1197.3453259569999</v>
      </c>
      <c r="I16" s="5">
        <f t="shared" si="2"/>
        <v>4594.8817823040008</v>
      </c>
      <c r="J16" s="6">
        <v>380.96799999999996</v>
      </c>
      <c r="K16" s="107"/>
      <c r="L16" s="111"/>
    </row>
    <row r="17" spans="1:12" ht="14.4">
      <c r="A17" s="16" t="s">
        <v>47</v>
      </c>
      <c r="B17" s="47">
        <f t="shared" si="3"/>
        <v>380.96799999999996</v>
      </c>
      <c r="C17" s="6">
        <v>4254.5450000000001</v>
      </c>
      <c r="D17" s="6">
        <f>(55089.9*1.10231)/1000</f>
        <v>60.726147668999999</v>
      </c>
      <c r="E17" s="6">
        <f t="shared" si="0"/>
        <v>4696.239147669</v>
      </c>
      <c r="F17" s="6"/>
      <c r="G17" s="6">
        <f t="shared" si="1"/>
        <v>3065.5731103500002</v>
      </c>
      <c r="H17" s="6">
        <f>(1075604.9*1.10231)/1000</f>
        <v>1185.6500373189999</v>
      </c>
      <c r="I17" s="5">
        <f t="shared" si="2"/>
        <v>4251.2231476690004</v>
      </c>
      <c r="J17" s="6">
        <v>445.01600000000002</v>
      </c>
      <c r="K17" s="107"/>
      <c r="L17" s="111"/>
    </row>
    <row r="18" spans="1:12" ht="14.4">
      <c r="A18" s="16" t="s">
        <v>48</v>
      </c>
      <c r="B18" s="47">
        <f t="shared" si="3"/>
        <v>445.01600000000002</v>
      </c>
      <c r="C18" s="6">
        <v>4260.0889999999999</v>
      </c>
      <c r="D18" s="112">
        <f>(66198.8*1.10231)/1000</f>
        <v>72.971599227999988</v>
      </c>
      <c r="E18" s="6">
        <f t="shared" si="0"/>
        <v>4778.0765992279994</v>
      </c>
      <c r="F18" s="6"/>
      <c r="G18" s="6">
        <f t="shared" si="1"/>
        <v>3171.9378907949995</v>
      </c>
      <c r="H18" s="112">
        <f>(1036354.3*1.10231)/1000</f>
        <v>1142.3837084329998</v>
      </c>
      <c r="I18" s="5">
        <f t="shared" si="2"/>
        <v>4314.3215992279993</v>
      </c>
      <c r="J18" s="6">
        <v>463.755</v>
      </c>
      <c r="K18" s="107"/>
      <c r="L18" s="111"/>
    </row>
    <row r="19" spans="1:12" ht="14.4">
      <c r="A19" s="16" t="s">
        <v>50</v>
      </c>
      <c r="B19" s="47">
        <f t="shared" si="3"/>
        <v>463.755</v>
      </c>
      <c r="C19" s="6">
        <v>4106.5650000000005</v>
      </c>
      <c r="D19" s="112">
        <f>(56052.6*1.10231)/1000</f>
        <v>61.78734150599999</v>
      </c>
      <c r="E19" s="6">
        <f t="shared" si="0"/>
        <v>4632.1073415060009</v>
      </c>
      <c r="F19" s="6"/>
      <c r="G19" s="6">
        <f t="shared" si="1"/>
        <v>3129.3458416380008</v>
      </c>
      <c r="H19" s="112">
        <f>(1039142.8*1.10231)/1000</f>
        <v>1145.457499868</v>
      </c>
      <c r="I19" s="5">
        <f t="shared" si="2"/>
        <v>4274.8033415060008</v>
      </c>
      <c r="J19" s="6">
        <v>357.30399999999997</v>
      </c>
      <c r="K19" s="107"/>
    </row>
    <row r="20" spans="1:12" ht="14.4">
      <c r="A20" s="16" t="s">
        <v>51</v>
      </c>
      <c r="B20" s="47">
        <f>J19</f>
        <v>357.30399999999997</v>
      </c>
      <c r="C20" s="6">
        <v>4270.28</v>
      </c>
      <c r="D20" s="112">
        <f>(67390*1.10231)/1000</f>
        <v>74.284670899999995</v>
      </c>
      <c r="E20" s="6">
        <f t="shared" si="0"/>
        <v>4701.8686708999994</v>
      </c>
      <c r="F20" s="6"/>
      <c r="G20" s="6">
        <f t="shared" si="1"/>
        <v>3260.6808691549995</v>
      </c>
      <c r="H20" s="112">
        <f>(829589.5*1.10231)/1000</f>
        <v>914.46480174499993</v>
      </c>
      <c r="I20" s="5">
        <f t="shared" si="2"/>
        <v>4175.1456708999995</v>
      </c>
      <c r="J20" s="6">
        <v>526.72299999999996</v>
      </c>
      <c r="K20" s="107"/>
    </row>
    <row r="21" spans="1:12" ht="14.4">
      <c r="A21" s="16" t="s">
        <v>52</v>
      </c>
      <c r="B21" s="47">
        <f>J20</f>
        <v>526.72299999999996</v>
      </c>
      <c r="C21" s="6">
        <v>4147.2370000000001</v>
      </c>
      <c r="D21" s="112">
        <f>(45618.3*1.10231)/1000</f>
        <v>50.285508272999998</v>
      </c>
      <c r="E21" s="6">
        <f t="shared" si="0"/>
        <v>4724.2455082730003</v>
      </c>
      <c r="F21" s="6"/>
      <c r="G21" s="6">
        <f t="shared" si="1"/>
        <v>3463.4597325930004</v>
      </c>
      <c r="H21" s="112">
        <f>(828128*1.10231)/1000</f>
        <v>912.85377568000001</v>
      </c>
      <c r="I21" s="5">
        <f t="shared" si="2"/>
        <v>4376.3135082730005</v>
      </c>
      <c r="J21" s="6">
        <v>347.93200000000002</v>
      </c>
      <c r="K21" s="107"/>
    </row>
    <row r="22" spans="1:12" ht="14.4">
      <c r="A22" s="16" t="s">
        <v>38</v>
      </c>
      <c r="B22" s="47">
        <f>J21</f>
        <v>347.93200000000002</v>
      </c>
      <c r="C22" s="6">
        <v>3925.0389999999998</v>
      </c>
      <c r="D22" s="112">
        <f>(51133.2*1.10231)/1000</f>
        <v>56.364637691999988</v>
      </c>
      <c r="E22" s="6">
        <f t="shared" si="0"/>
        <v>4329.3356376919992</v>
      </c>
      <c r="F22" s="6"/>
      <c r="G22" s="6">
        <f t="shared" si="1"/>
        <v>3117.482517597999</v>
      </c>
      <c r="H22" s="112">
        <f>(817307.4*1.10231)/1000</f>
        <v>900.92612009399988</v>
      </c>
      <c r="I22" s="5">
        <f t="shared" si="2"/>
        <v>4018.408637691999</v>
      </c>
      <c r="J22" s="6">
        <v>310.92700000000002</v>
      </c>
      <c r="K22" s="115"/>
    </row>
    <row r="23" spans="1:12" ht="14.4">
      <c r="A23" s="16" t="s">
        <v>28</v>
      </c>
      <c r="B23" s="47"/>
      <c r="C23" s="6">
        <f>SUM(C11:C22)</f>
        <v>51814.455000000002</v>
      </c>
      <c r="D23" s="6">
        <f>(588867.9*1.10231)/1000</f>
        <v>649.11497484899996</v>
      </c>
      <c r="E23" s="6">
        <f>B11+C23+D23</f>
        <v>52804.355974849001</v>
      </c>
      <c r="F23" s="6"/>
      <c r="G23" s="6">
        <f>SUM(G11:G22)</f>
        <v>38969.617926673003</v>
      </c>
      <c r="H23" s="6">
        <f>(12268609.6*1.10231)/1000</f>
        <v>13523.811048175998</v>
      </c>
      <c r="I23" s="6">
        <f>SUM(I11:I22)</f>
        <v>52493.428974849005</v>
      </c>
      <c r="J23" s="6"/>
      <c r="K23" s="107"/>
    </row>
    <row r="24" spans="1:12" ht="14.4">
      <c r="A24" s="16"/>
      <c r="B24" s="47"/>
      <c r="C24" s="6"/>
      <c r="D24" s="6"/>
      <c r="E24" s="6"/>
      <c r="F24" s="6"/>
      <c r="G24" s="6"/>
      <c r="H24" s="6"/>
      <c r="I24" s="6"/>
      <c r="J24" s="6"/>
      <c r="K24" s="107"/>
    </row>
    <row r="25" spans="1:12" ht="14.4">
      <c r="A25" s="36" t="s">
        <v>54</v>
      </c>
      <c r="B25" s="47"/>
      <c r="C25" s="6"/>
      <c r="D25" s="6"/>
      <c r="E25" s="6"/>
      <c r="F25" s="6"/>
      <c r="G25" s="6"/>
      <c r="H25" s="6"/>
      <c r="I25" s="6"/>
      <c r="J25" s="6"/>
      <c r="K25" s="107"/>
    </row>
    <row r="26" spans="1:12" ht="14.4">
      <c r="A26" s="16" t="s">
        <v>39</v>
      </c>
      <c r="B26" s="47">
        <f>J22</f>
        <v>310.92700000000002</v>
      </c>
      <c r="C26" s="6">
        <v>4603.3959999999997</v>
      </c>
      <c r="D26" s="6">
        <f>(58138.2*1.10231)/1000</f>
        <v>64.086319241999988</v>
      </c>
      <c r="E26" s="6">
        <f t="shared" ref="E26:E31" si="4">SUM(B26:D26)</f>
        <v>4978.4093192419996</v>
      </c>
      <c r="F26" s="6"/>
      <c r="G26" s="6">
        <f t="shared" ref="G26:G31" si="5">I26-H26</f>
        <v>3640.5241230109996</v>
      </c>
      <c r="H26" s="6">
        <f>(870600.1*1.10231)/1000</f>
        <v>959.67119623099984</v>
      </c>
      <c r="I26" s="5">
        <f t="shared" ref="I26:I31" si="6">E26-J26</f>
        <v>4600.1953192419996</v>
      </c>
      <c r="J26" s="6">
        <v>378.214</v>
      </c>
      <c r="K26" s="107"/>
    </row>
    <row r="27" spans="1:12" ht="14.4">
      <c r="A27" s="16" t="s">
        <v>40</v>
      </c>
      <c r="B27" s="47">
        <f>J26</f>
        <v>378.214</v>
      </c>
      <c r="C27" s="6">
        <v>4469.9660000000003</v>
      </c>
      <c r="D27" s="6">
        <f>(53339.9*1.10231)/1000</f>
        <v>58.797105168999998</v>
      </c>
      <c r="E27" s="6">
        <f t="shared" si="4"/>
        <v>4906.9771051690004</v>
      </c>
      <c r="F27" s="6"/>
      <c r="G27" s="6">
        <f t="shared" si="5"/>
        <v>3305.9972672080012</v>
      </c>
      <c r="H27" s="6">
        <f>(1135683.1*1.10231)/1000</f>
        <v>1251.8748379609999</v>
      </c>
      <c r="I27" s="5">
        <f t="shared" si="6"/>
        <v>4557.8721051690009</v>
      </c>
      <c r="J27" s="6">
        <v>349.10500000000002</v>
      </c>
      <c r="K27" s="107"/>
    </row>
    <row r="28" spans="1:12" ht="14.4">
      <c r="A28" s="16" t="s">
        <v>42</v>
      </c>
      <c r="B28" s="47">
        <f>J27</f>
        <v>349.10500000000002</v>
      </c>
      <c r="C28" s="6">
        <v>4437.4089999999997</v>
      </c>
      <c r="D28" s="6">
        <f>(32195.5*1.10231)/1000</f>
        <v>35.489421604999997</v>
      </c>
      <c r="E28" s="6">
        <f t="shared" si="4"/>
        <v>4822.0034216049989</v>
      </c>
      <c r="F28" s="6"/>
      <c r="G28" s="6">
        <f t="shared" si="5"/>
        <v>3048.1806654779984</v>
      </c>
      <c r="H28" s="6">
        <f>(1195621.7*1.10231)/1000</f>
        <v>1317.9457561269999</v>
      </c>
      <c r="I28" s="5">
        <f t="shared" si="6"/>
        <v>4366.1264216049985</v>
      </c>
      <c r="J28" s="6">
        <v>455.87700000000001</v>
      </c>
      <c r="K28" s="107"/>
    </row>
    <row r="29" spans="1:12" ht="14.4">
      <c r="A29" s="16" t="s">
        <v>43</v>
      </c>
      <c r="B29" s="47">
        <f>J28</f>
        <v>455.87700000000001</v>
      </c>
      <c r="C29" s="6">
        <v>4540.9090000000006</v>
      </c>
      <c r="D29" s="6">
        <f>(87357.8*1.10231)/1000</f>
        <v>96.295376517999983</v>
      </c>
      <c r="E29" s="6">
        <f t="shared" si="4"/>
        <v>5093.081376518001</v>
      </c>
      <c r="F29" s="6"/>
      <c r="G29" s="6">
        <f t="shared" si="5"/>
        <v>3101.8863894670012</v>
      </c>
      <c r="H29" s="6">
        <f>(1404622.1*1.10231)/1000</f>
        <v>1548.3289870509998</v>
      </c>
      <c r="I29" s="5">
        <f t="shared" si="6"/>
        <v>4650.215376518001</v>
      </c>
      <c r="J29" s="6">
        <v>442.86599999999999</v>
      </c>
      <c r="K29" s="107"/>
    </row>
    <row r="30" spans="1:12" ht="13.8">
      <c r="A30" s="16" t="s">
        <v>44</v>
      </c>
      <c r="B30" s="47">
        <f>J29</f>
        <v>442.86599999999999</v>
      </c>
      <c r="C30" s="6">
        <v>4197.5839999999998</v>
      </c>
      <c r="D30" s="6">
        <f>(40187.2*1.10231)/1000</f>
        <v>44.298752431999993</v>
      </c>
      <c r="E30" s="6">
        <f t="shared" si="4"/>
        <v>4684.7487524319995</v>
      </c>
      <c r="F30" s="6"/>
      <c r="G30" s="6">
        <f t="shared" si="5"/>
        <v>3189.261751647</v>
      </c>
      <c r="H30" s="6">
        <f>(925173.5*1.10231)/1000</f>
        <v>1019.828000785</v>
      </c>
      <c r="I30" s="5">
        <f t="shared" si="6"/>
        <v>4209.0897524319998</v>
      </c>
      <c r="J30" s="6">
        <v>475.65899999999999</v>
      </c>
      <c r="K30" s="152"/>
    </row>
    <row r="31" spans="1:12" ht="14.4">
      <c r="A31" s="15" t="s">
        <v>46</v>
      </c>
      <c r="B31" s="48">
        <f>J30</f>
        <v>475.65899999999999</v>
      </c>
      <c r="C31" s="41">
        <v>4698.1610000000001</v>
      </c>
      <c r="D31" s="41">
        <f>(43410.1*1.10231)/1000</f>
        <v>47.851387330999991</v>
      </c>
      <c r="E31" s="41">
        <f t="shared" si="4"/>
        <v>5221.671387331</v>
      </c>
      <c r="F31" s="41"/>
      <c r="G31" s="41">
        <f t="shared" si="5"/>
        <v>3369.7769356149997</v>
      </c>
      <c r="H31" s="41">
        <f>(1336143.6*1.10231)/1000</f>
        <v>1472.8444517160001</v>
      </c>
      <c r="I31" s="53">
        <f t="shared" si="6"/>
        <v>4842.6213873309998</v>
      </c>
      <c r="J31" s="41">
        <v>379.04999999999995</v>
      </c>
      <c r="K31" s="153"/>
    </row>
    <row r="32" spans="1:12" ht="16.2">
      <c r="A32" s="49" t="s">
        <v>67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4.4">
      <c r="A33" s="16" t="s">
        <v>68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3.8">
      <c r="A34" s="21" t="s">
        <v>56</v>
      </c>
      <c r="B34" s="43">
        <f>Contents!A16</f>
        <v>45062</v>
      </c>
      <c r="C34" s="39"/>
      <c r="D34" s="34"/>
      <c r="E34" s="34"/>
      <c r="F34" s="34"/>
      <c r="G34" s="34"/>
      <c r="H34" s="34"/>
      <c r="I34" s="34"/>
      <c r="J34" s="34"/>
    </row>
    <row r="35" spans="1:10">
      <c r="B35" s="50"/>
      <c r="C35" s="51"/>
      <c r="D35" s="50"/>
      <c r="E35" s="104"/>
      <c r="F35" s="50"/>
      <c r="G35" s="50"/>
      <c r="H35" s="52"/>
      <c r="I35" s="104"/>
      <c r="J35" s="50"/>
    </row>
    <row r="36" spans="1:10">
      <c r="B36" s="50"/>
      <c r="C36" s="50"/>
      <c r="D36" s="50"/>
      <c r="E36" s="50"/>
      <c r="F36" s="50"/>
      <c r="G36" s="50"/>
      <c r="H36" s="50"/>
      <c r="I36" s="50"/>
      <c r="J36" s="50"/>
    </row>
  </sheetData>
  <mergeCells count="3">
    <mergeCell ref="G2:I2"/>
    <mergeCell ref="B5:J5"/>
    <mergeCell ref="B2:E2"/>
  </mergeCells>
  <phoneticPr fontId="28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5"/>
  <sheetViews>
    <sheetView showGridLines="0" zoomScale="85" zoomScaleNormal="85" workbookViewId="0"/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1.33203125" bestFit="1" customWidth="1"/>
    <col min="6" max="6" width="3.6640625" customWidth="1"/>
    <col min="7" max="7" width="11.5546875" bestFit="1" customWidth="1"/>
    <col min="8" max="8" width="10.66406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3.8">
      <c r="A2" s="16"/>
      <c r="B2" s="161" t="s">
        <v>57</v>
      </c>
      <c r="C2" s="161"/>
      <c r="D2" s="161"/>
      <c r="E2" s="161"/>
      <c r="F2" s="16"/>
      <c r="G2" s="161" t="s">
        <v>58</v>
      </c>
      <c r="H2" s="161"/>
      <c r="I2" s="161"/>
      <c r="J2" s="124"/>
      <c r="K2" s="124"/>
      <c r="L2" s="16"/>
    </row>
    <row r="3" spans="1:14" ht="13.8">
      <c r="A3" s="16" t="s">
        <v>17</v>
      </c>
      <c r="B3" s="18" t="s">
        <v>69</v>
      </c>
      <c r="C3" s="18" t="s">
        <v>26</v>
      </c>
      <c r="D3" s="18" t="s">
        <v>70</v>
      </c>
      <c r="E3" s="18" t="s">
        <v>62</v>
      </c>
      <c r="F3" s="18"/>
      <c r="G3" s="124" t="s">
        <v>63</v>
      </c>
      <c r="H3" s="124"/>
      <c r="I3" s="124"/>
      <c r="J3" s="18" t="s">
        <v>71</v>
      </c>
      <c r="K3" s="18" t="s">
        <v>62</v>
      </c>
      <c r="L3" s="18" t="s">
        <v>59</v>
      </c>
    </row>
    <row r="4" spans="1:14" ht="16.2">
      <c r="A4" s="22" t="s">
        <v>60</v>
      </c>
      <c r="B4" s="24" t="s">
        <v>61</v>
      </c>
      <c r="C4" s="25"/>
      <c r="D4" s="25"/>
      <c r="E4" s="25"/>
      <c r="F4" s="25"/>
      <c r="G4" s="24" t="s">
        <v>28</v>
      </c>
      <c r="H4" s="24" t="s">
        <v>72</v>
      </c>
      <c r="I4" s="24" t="s">
        <v>73</v>
      </c>
      <c r="J4" s="25"/>
      <c r="K4" s="25"/>
      <c r="L4" s="18" t="s">
        <v>65</v>
      </c>
    </row>
    <row r="5" spans="1:14" ht="14.4">
      <c r="A5" s="16"/>
      <c r="B5" s="163" t="s">
        <v>74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4" ht="16.2">
      <c r="A6" s="16" t="s">
        <v>35</v>
      </c>
      <c r="B6" s="46">
        <v>2131.2330000000002</v>
      </c>
      <c r="C6" s="46">
        <f>C23</f>
        <v>26155.173000000003</v>
      </c>
      <c r="D6" s="46">
        <f>D23</f>
        <v>303.28830530459993</v>
      </c>
      <c r="E6" s="46">
        <f>E23</f>
        <v>28589.694305304602</v>
      </c>
      <c r="F6" s="46"/>
      <c r="G6" s="46">
        <f>K6-J6</f>
        <v>24825.1031737536</v>
      </c>
      <c r="H6" s="46">
        <v>10348.19</v>
      </c>
      <c r="I6" s="33">
        <f>G6-H6</f>
        <v>14476.913173753599</v>
      </c>
      <c r="J6" s="46">
        <f>J23</f>
        <v>1773.4431315509999</v>
      </c>
      <c r="K6" s="46">
        <f>E6-L6</f>
        <v>26598.546305304601</v>
      </c>
      <c r="L6" s="46">
        <f>L22</f>
        <v>1991.1480000000001</v>
      </c>
    </row>
    <row r="7" spans="1:14" ht="16.2">
      <c r="A7" s="16" t="s">
        <v>36</v>
      </c>
      <c r="B7" s="46">
        <f>L6</f>
        <v>1991.1480000000001</v>
      </c>
      <c r="C7" s="46">
        <v>26195</v>
      </c>
      <c r="D7" s="46">
        <v>325</v>
      </c>
      <c r="E7" s="46">
        <f>SUM(B7:D7)</f>
        <v>28511.148000000001</v>
      </c>
      <c r="F7" s="46"/>
      <c r="G7" s="46">
        <f>K7-J7</f>
        <v>26125</v>
      </c>
      <c r="H7" s="46">
        <v>11600</v>
      </c>
      <c r="I7" s="33">
        <f>G7-H7</f>
        <v>14525</v>
      </c>
      <c r="J7" s="46">
        <v>450</v>
      </c>
      <c r="K7" s="46">
        <f>E7-L7</f>
        <v>26575</v>
      </c>
      <c r="L7" s="46">
        <v>1936.148000000001</v>
      </c>
    </row>
    <row r="8" spans="1:14" ht="16.2">
      <c r="A8" s="16" t="s">
        <v>187</v>
      </c>
      <c r="B8" s="46">
        <f>L7</f>
        <v>1936.148000000001</v>
      </c>
      <c r="C8" s="46">
        <v>27145</v>
      </c>
      <c r="D8" s="46">
        <v>350</v>
      </c>
      <c r="E8" s="46">
        <f>SUM(B8:D8)</f>
        <v>29431.148000000001</v>
      </c>
      <c r="F8" s="46"/>
      <c r="G8" s="46">
        <f>K8-J8</f>
        <v>27000</v>
      </c>
      <c r="H8" s="46">
        <v>12500</v>
      </c>
      <c r="I8" s="33">
        <f>G8-H8</f>
        <v>14500</v>
      </c>
      <c r="J8" s="46">
        <v>600</v>
      </c>
      <c r="K8" s="46">
        <f>E8-L8</f>
        <v>27600</v>
      </c>
      <c r="L8" s="46">
        <v>1831.148000000001</v>
      </c>
    </row>
    <row r="9" spans="1:14" ht="13.8">
      <c r="A9" s="16"/>
      <c r="B9" s="46"/>
      <c r="C9" s="46"/>
      <c r="D9" s="46"/>
      <c r="E9" s="46"/>
      <c r="F9" s="46"/>
      <c r="G9" s="46"/>
      <c r="H9" s="46"/>
      <c r="I9" s="100"/>
      <c r="J9" s="46"/>
      <c r="K9" s="46"/>
      <c r="L9" s="46"/>
    </row>
    <row r="10" spans="1:14" ht="13.8">
      <c r="A10" s="36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16" t="s">
        <v>39</v>
      </c>
      <c r="B11" s="5">
        <f>B6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2071.1409910572002</v>
      </c>
      <c r="H11" s="6">
        <v>832.42700000000002</v>
      </c>
      <c r="I11" s="6">
        <f t="shared" ref="I11:I22" si="2">G11-H11</f>
        <v>1238.7139910572</v>
      </c>
      <c r="J11" s="6">
        <f>(25929.1*2204.622)/1000000</f>
        <v>57.16386430019999</v>
      </c>
      <c r="K11" s="6">
        <f t="shared" ref="K11:K22" si="3">E11-L11</f>
        <v>2128.3048553574004</v>
      </c>
      <c r="L11" s="5">
        <v>2386.337</v>
      </c>
      <c r="N11" s="111"/>
    </row>
    <row r="12" spans="1:14" ht="13.8">
      <c r="A12" s="16" t="s">
        <v>40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11"/>
    </row>
    <row r="13" spans="1:14" ht="13.8">
      <c r="A13" s="16" t="s">
        <v>42</v>
      </c>
      <c r="B13" s="5">
        <f t="shared" si="4"/>
        <v>2405.9630000000002</v>
      </c>
      <c r="C13" s="6">
        <v>2324.183</v>
      </c>
      <c r="D13" s="6">
        <f>(14353.5*2204.622)/1000000</f>
        <v>31.644041876999996</v>
      </c>
      <c r="E13" s="6">
        <f t="shared" si="0"/>
        <v>4761.7900418770005</v>
      </c>
      <c r="F13" s="57"/>
      <c r="G13" s="5">
        <f t="shared" si="1"/>
        <v>2130.8006323142004</v>
      </c>
      <c r="H13" s="6">
        <v>938.34100000000001</v>
      </c>
      <c r="I13" s="6">
        <f t="shared" si="2"/>
        <v>1192.4596323142005</v>
      </c>
      <c r="J13" s="6">
        <f>(74887.4*2204.622)/1000000</f>
        <v>165.09840956279999</v>
      </c>
      <c r="K13" s="6">
        <f t="shared" si="3"/>
        <v>2295.8990418770004</v>
      </c>
      <c r="L13" s="5">
        <v>2465.8910000000001</v>
      </c>
      <c r="N13" s="111"/>
    </row>
    <row r="14" spans="1:14" ht="13.8">
      <c r="A14" s="16" t="s">
        <v>43</v>
      </c>
      <c r="B14" s="5">
        <f t="shared" si="4"/>
        <v>2465.8910000000001</v>
      </c>
      <c r="C14" s="6">
        <v>2277.355</v>
      </c>
      <c r="D14" s="6">
        <f>(7352.3*2204.622)/1000000</f>
        <v>16.209042330599999</v>
      </c>
      <c r="E14" s="6">
        <f t="shared" si="0"/>
        <v>4759.4550423306</v>
      </c>
      <c r="F14" s="57"/>
      <c r="G14" s="5">
        <f t="shared" si="1"/>
        <v>1975.1484729870001</v>
      </c>
      <c r="H14" s="6">
        <v>791.38699999999994</v>
      </c>
      <c r="I14" s="6">
        <f t="shared" si="2"/>
        <v>1183.7614729870002</v>
      </c>
      <c r="J14" s="6">
        <f>(128993.8*2204.622)/1000000</f>
        <v>284.38256934359998</v>
      </c>
      <c r="K14" s="6">
        <f t="shared" si="3"/>
        <v>2259.5310423306</v>
      </c>
      <c r="L14" s="5">
        <v>2499.924</v>
      </c>
      <c r="N14" s="111"/>
    </row>
    <row r="15" spans="1:14" ht="13.8">
      <c r="A15" s="16" t="s">
        <v>44</v>
      </c>
      <c r="B15" s="5">
        <f t="shared" si="4"/>
        <v>2499.924</v>
      </c>
      <c r="C15" s="6">
        <v>2064.1990000000001</v>
      </c>
      <c r="D15" s="6">
        <f>(9762.4*2204.622)/1000000</f>
        <v>21.522401812799998</v>
      </c>
      <c r="E15" s="6">
        <f t="shared" si="0"/>
        <v>4585.6454018127997</v>
      </c>
      <c r="F15" s="57"/>
      <c r="G15" s="5">
        <f t="shared" si="1"/>
        <v>1783.8920882499997</v>
      </c>
      <c r="H15" s="6">
        <v>740.60299999999995</v>
      </c>
      <c r="I15" s="6">
        <f t="shared" si="2"/>
        <v>1043.2890882499996</v>
      </c>
      <c r="J15" s="6">
        <f>(106887.4*2204.622)/1000000</f>
        <v>235.64631356279995</v>
      </c>
      <c r="K15" s="6">
        <f t="shared" si="3"/>
        <v>2019.5384018127997</v>
      </c>
      <c r="L15" s="5">
        <v>2566.107</v>
      </c>
      <c r="N15" s="111"/>
    </row>
    <row r="16" spans="1:14" ht="13.8">
      <c r="A16" s="16" t="s">
        <v>46</v>
      </c>
      <c r="B16" s="5">
        <f t="shared" si="4"/>
        <v>2566.107</v>
      </c>
      <c r="C16" s="6">
        <v>2277.5410000000002</v>
      </c>
      <c r="D16" s="6">
        <f>(10063.7*2204.622)/1000000</f>
        <v>22.1866544214</v>
      </c>
      <c r="E16" s="6">
        <f t="shared" ref="E16:E22" si="5">SUM(B16:D16)</f>
        <v>4865.8346544214</v>
      </c>
      <c r="F16" s="57"/>
      <c r="G16" s="5">
        <f t="shared" si="1"/>
        <v>2165.6971246715998</v>
      </c>
      <c r="H16" s="6">
        <v>908.29</v>
      </c>
      <c r="I16" s="6">
        <f t="shared" si="2"/>
        <v>1257.4071246715998</v>
      </c>
      <c r="J16" s="6">
        <f>(120845.9*2204.622)/1000000</f>
        <v>266.41952974979995</v>
      </c>
      <c r="K16" s="6">
        <f t="shared" si="3"/>
        <v>2432.1166544213997</v>
      </c>
      <c r="L16" s="5">
        <v>2433.7180000000003</v>
      </c>
      <c r="N16" s="111"/>
    </row>
    <row r="17" spans="1:14" ht="13.8">
      <c r="A17" s="16" t="s">
        <v>47</v>
      </c>
      <c r="B17" s="5">
        <f t="shared" si="4"/>
        <v>2433.7180000000003</v>
      </c>
      <c r="C17" s="6">
        <v>2143.1179999999999</v>
      </c>
      <c r="D17" s="6">
        <f>(10668.4*2204.622)/1000000</f>
        <v>23.519789344799999</v>
      </c>
      <c r="E17" s="6">
        <f t="shared" si="5"/>
        <v>4600.3557893448005</v>
      </c>
      <c r="F17" s="57"/>
      <c r="G17" s="5">
        <f t="shared" si="1"/>
        <v>2008.0906443672006</v>
      </c>
      <c r="H17" s="6">
        <v>838.9</v>
      </c>
      <c r="I17" s="6">
        <f t="shared" si="2"/>
        <v>1169.1906443672005</v>
      </c>
      <c r="J17" s="6">
        <f>(76240.8*2204.622)/1000000</f>
        <v>168.0821449776</v>
      </c>
      <c r="K17" s="6">
        <f t="shared" si="3"/>
        <v>2176.1727893448005</v>
      </c>
      <c r="L17" s="5">
        <v>2424.183</v>
      </c>
      <c r="N17" s="111"/>
    </row>
    <row r="18" spans="1:14" ht="13.8">
      <c r="A18" s="16" t="s">
        <v>48</v>
      </c>
      <c r="B18" s="5">
        <f t="shared" si="4"/>
        <v>2424.183</v>
      </c>
      <c r="C18" s="6">
        <v>2158.7739999999999</v>
      </c>
      <c r="D18" s="112">
        <f>(11311.9*2204.622)/1000000</f>
        <v>24.938463601799999</v>
      </c>
      <c r="E18" s="6">
        <f t="shared" si="5"/>
        <v>4607.8954636018007</v>
      </c>
      <c r="F18" s="57"/>
      <c r="G18" s="5">
        <f t="shared" si="1"/>
        <v>2149.6321321876007</v>
      </c>
      <c r="H18" s="6">
        <v>855.57100000000003</v>
      </c>
      <c r="I18" s="6">
        <f t="shared" si="2"/>
        <v>1294.0611321876008</v>
      </c>
      <c r="J18" s="112">
        <f>(33516.1*2204.622)/1000000</f>
        <v>73.890331414199991</v>
      </c>
      <c r="K18" s="6">
        <f t="shared" si="3"/>
        <v>2223.5224636018006</v>
      </c>
      <c r="L18" s="5">
        <v>2384.373</v>
      </c>
      <c r="N18" s="111"/>
    </row>
    <row r="19" spans="1:14" ht="13.8">
      <c r="A19" s="16" t="s">
        <v>50</v>
      </c>
      <c r="B19" s="5">
        <f t="shared" si="4"/>
        <v>2384.373</v>
      </c>
      <c r="C19" s="6">
        <v>2068.578</v>
      </c>
      <c r="D19" s="112">
        <f>(10963.3*2204.622)/1000000</f>
        <v>24.169932372599998</v>
      </c>
      <c r="E19" s="6">
        <f t="shared" si="5"/>
        <v>4477.1209323725998</v>
      </c>
      <c r="F19" s="57"/>
      <c r="G19" s="5">
        <f t="shared" si="1"/>
        <v>2088.4572126891999</v>
      </c>
      <c r="H19" s="6">
        <v>809.79899999999998</v>
      </c>
      <c r="I19" s="6">
        <f t="shared" si="2"/>
        <v>1278.6582126891999</v>
      </c>
      <c r="J19" s="112">
        <f>(33184.7*2204.622)/1000000</f>
        <v>73.159719683399985</v>
      </c>
      <c r="K19" s="6">
        <f t="shared" si="3"/>
        <v>2161.6169323725999</v>
      </c>
      <c r="L19" s="5">
        <v>2315.5039999999999</v>
      </c>
    </row>
    <row r="20" spans="1:14" ht="13.8">
      <c r="A20" s="16" t="s">
        <v>51</v>
      </c>
      <c r="B20" s="5">
        <f t="shared" si="4"/>
        <v>2315.5039999999999</v>
      </c>
      <c r="C20" s="6">
        <v>2169.9299999999998</v>
      </c>
      <c r="D20" s="112">
        <f>(11391.7*2204.622)/1000000</f>
        <v>25.114392437399999</v>
      </c>
      <c r="E20" s="6">
        <f t="shared" si="5"/>
        <v>4510.5483924373993</v>
      </c>
      <c r="F20" s="57"/>
      <c r="G20" s="5">
        <f t="shared" si="1"/>
        <v>2125.6014242047995</v>
      </c>
      <c r="H20" s="6">
        <v>956.48800000000006</v>
      </c>
      <c r="I20" s="6">
        <f t="shared" si="2"/>
        <v>1169.1134242047995</v>
      </c>
      <c r="J20" s="112">
        <f>(53593.3*2204.622)/1000000</f>
        <v>118.1529682326</v>
      </c>
      <c r="K20" s="6">
        <f t="shared" si="3"/>
        <v>2243.7543924373995</v>
      </c>
      <c r="L20" s="5">
        <v>2266.7939999999999</v>
      </c>
    </row>
    <row r="21" spans="1:14" ht="13.8">
      <c r="A21" s="16" t="s">
        <v>52</v>
      </c>
      <c r="B21" s="5">
        <f t="shared" si="4"/>
        <v>2266.7939999999999</v>
      </c>
      <c r="C21" s="6">
        <v>2095.5810000000001</v>
      </c>
      <c r="D21" s="112">
        <f>(9641.3*2204.622)/1000000</f>
        <v>21.2554220886</v>
      </c>
      <c r="E21" s="6">
        <f t="shared" si="5"/>
        <v>4383.6304220886004</v>
      </c>
      <c r="F21" s="57"/>
      <c r="G21" s="5">
        <f t="shared" si="1"/>
        <v>2222.8252080034008</v>
      </c>
      <c r="H21" s="6">
        <v>924.71799999999996</v>
      </c>
      <c r="I21" s="6">
        <f t="shared" si="2"/>
        <v>1298.107208003401</v>
      </c>
      <c r="J21" s="112">
        <f>(25896.6*2204.622)/1000000</f>
        <v>57.092214085199991</v>
      </c>
      <c r="K21" s="6">
        <f t="shared" si="3"/>
        <v>2279.9174220886007</v>
      </c>
      <c r="L21" s="5">
        <v>2103.7129999999997</v>
      </c>
    </row>
    <row r="22" spans="1:14" ht="13.8">
      <c r="A22" s="16" t="s">
        <v>38</v>
      </c>
      <c r="B22" s="5">
        <f t="shared" si="4"/>
        <v>2103.7129999999997</v>
      </c>
      <c r="C22" s="6">
        <v>1992.9639999999999</v>
      </c>
      <c r="D22" s="112">
        <f>(10329.4*2204.622)/1000000</f>
        <v>22.772422486799996</v>
      </c>
      <c r="E22" s="6">
        <f t="shared" si="5"/>
        <v>4119.4494224867994</v>
      </c>
      <c r="F22" s="57"/>
      <c r="G22" s="5">
        <f t="shared" si="1"/>
        <v>2083.2250596881995</v>
      </c>
      <c r="H22" s="6">
        <v>933.65499999999997</v>
      </c>
      <c r="I22" s="6">
        <f t="shared" si="2"/>
        <v>1149.5700596881995</v>
      </c>
      <c r="J22" s="112">
        <f>(20446.3*2204.622)/1000000</f>
        <v>45.076362798599995</v>
      </c>
      <c r="K22" s="6">
        <f t="shared" si="3"/>
        <v>2128.3014224867993</v>
      </c>
      <c r="L22" s="5">
        <v>1991.1480000000001</v>
      </c>
    </row>
    <row r="23" spans="1:14" ht="13.8">
      <c r="A23" s="16" t="s">
        <v>28</v>
      </c>
      <c r="B23" s="5"/>
      <c r="C23" s="6">
        <f>SUM(C11:C22)</f>
        <v>26155.173000000003</v>
      </c>
      <c r="D23" s="6">
        <f>(137569.3*2204.622)/1000000</f>
        <v>303.28830530459993</v>
      </c>
      <c r="E23" s="6">
        <f>B11+C23+D23</f>
        <v>28589.694305304602</v>
      </c>
      <c r="F23" s="5"/>
      <c r="G23" s="5">
        <f>SUM(G11:G22)</f>
        <v>24825.102953291404</v>
      </c>
      <c r="H23" s="6">
        <f>SUM(H11:H22)</f>
        <v>10348.1917128</v>
      </c>
      <c r="I23" s="6">
        <f>SUM(I11:I22)</f>
        <v>14476.911240491401</v>
      </c>
      <c r="J23" s="6">
        <f>(804420.5*2204.622)/1000000</f>
        <v>1773.4431315509999</v>
      </c>
      <c r="K23" s="5">
        <f>SUM(K11:K22)</f>
        <v>26598.546305304601</v>
      </c>
      <c r="L23" s="5"/>
    </row>
    <row r="24" spans="1:14" ht="13.8">
      <c r="A24" s="16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6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6" t="s">
        <v>39</v>
      </c>
      <c r="B26" s="5">
        <f>L22</f>
        <v>1991.1480000000001</v>
      </c>
      <c r="C26" s="6">
        <v>2338.085</v>
      </c>
      <c r="D26" s="6">
        <f>(13492.7*2204.622)/1000000</f>
        <v>29.746303259399998</v>
      </c>
      <c r="E26" s="6">
        <f t="shared" ref="E26:E31" si="6">SUM(B26:D26)</f>
        <v>4358.9793032593998</v>
      </c>
      <c r="F26" s="5"/>
      <c r="G26" s="5">
        <f t="shared" ref="G26:G31" si="7">K26-J26</f>
        <v>2242.2710449107999</v>
      </c>
      <c r="H26" s="6">
        <v>906.40899999999999</v>
      </c>
      <c r="I26" s="6">
        <f t="shared" ref="I26:I30" si="8">G26-H26</f>
        <v>1335.8620449107998</v>
      </c>
      <c r="J26" s="6">
        <f>(10471.3*2204.622)/1000000</f>
        <v>23.085258348599996</v>
      </c>
      <c r="K26" s="6">
        <f t="shared" ref="K26:K31" si="9">E26-L26</f>
        <v>2265.3563032593997</v>
      </c>
      <c r="L26" s="5">
        <v>2093.623</v>
      </c>
    </row>
    <row r="27" spans="1:14" ht="13.8">
      <c r="A27" s="16" t="s">
        <v>40</v>
      </c>
      <c r="B27" s="5">
        <f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2183.7515713444004</v>
      </c>
      <c r="H27" s="6">
        <v>943.34199999999998</v>
      </c>
      <c r="I27" s="6">
        <f t="shared" si="8"/>
        <v>1240.4095713444003</v>
      </c>
      <c r="J27" s="6">
        <f>(10634.4*2204.622)/1000000</f>
        <v>23.444832196799997</v>
      </c>
      <c r="K27" s="6">
        <f t="shared" si="9"/>
        <v>2207.1964035412002</v>
      </c>
      <c r="L27" s="5">
        <v>2112.2809999999999</v>
      </c>
    </row>
    <row r="28" spans="1:14" ht="13.8">
      <c r="A28" s="16" t="s">
        <v>42</v>
      </c>
      <c r="B28" s="5">
        <f>L27</f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1989.4369064418004</v>
      </c>
      <c r="H28" s="6">
        <v>885.44299999999998</v>
      </c>
      <c r="I28" s="6">
        <f t="shared" si="8"/>
        <v>1103.9939064418004</v>
      </c>
      <c r="J28" s="6">
        <f>(15720.5*2204.622)/1000000</f>
        <v>34.657760150999998</v>
      </c>
      <c r="K28" s="6">
        <f t="shared" si="9"/>
        <v>2024.0946665928004</v>
      </c>
      <c r="L28" s="5">
        <v>2306.1469999999999</v>
      </c>
    </row>
    <row r="29" spans="1:14" ht="13.8">
      <c r="A29" s="16" t="s">
        <v>43</v>
      </c>
      <c r="B29" s="5">
        <f>L28</f>
        <v>2306.1469999999999</v>
      </c>
      <c r="C29" s="6">
        <v>2252.3119999999999</v>
      </c>
      <c r="D29" s="6">
        <f>(11450.2*2204.622)/1000000</f>
        <v>25.243362824400002</v>
      </c>
      <c r="E29" s="6">
        <f t="shared" si="6"/>
        <v>4583.7023628243996</v>
      </c>
      <c r="F29" s="5"/>
      <c r="G29" s="5">
        <f t="shared" si="7"/>
        <v>2211.8930392041998</v>
      </c>
      <c r="H29" s="6">
        <v>940.87400000000002</v>
      </c>
      <c r="I29" s="6">
        <f t="shared" si="8"/>
        <v>1271.0190392041998</v>
      </c>
      <c r="J29" s="6">
        <f>(6989.1*2204.622)/1000000</f>
        <v>15.408323620199999</v>
      </c>
      <c r="K29" s="6">
        <f t="shared" si="9"/>
        <v>2227.3013628243998</v>
      </c>
      <c r="L29" s="5">
        <v>2356.4009999999998</v>
      </c>
    </row>
    <row r="30" spans="1:14" ht="13.8">
      <c r="A30" s="16" t="s">
        <v>44</v>
      </c>
      <c r="B30" s="5">
        <f>L29</f>
        <v>2356.4009999999998</v>
      </c>
      <c r="C30" s="6">
        <v>2091.2179999999998</v>
      </c>
      <c r="D30" s="6">
        <f>(15213.2*2204.622)/1000000</f>
        <v>33.539355410399999</v>
      </c>
      <c r="E30" s="6">
        <f t="shared" si="6"/>
        <v>4481.1583554104</v>
      </c>
      <c r="F30" s="5"/>
      <c r="G30" s="5">
        <f t="shared" si="7"/>
        <v>2091.4034745958002</v>
      </c>
      <c r="H30" s="6">
        <v>909.98699999999997</v>
      </c>
      <c r="I30" s="6">
        <f t="shared" si="8"/>
        <v>1181.4164745958001</v>
      </c>
      <c r="J30" s="6">
        <f>(11774.3*2204.622)/1000000</f>
        <v>25.957880814599999</v>
      </c>
      <c r="K30" s="6">
        <f t="shared" si="9"/>
        <v>2117.3613554103999</v>
      </c>
      <c r="L30" s="5">
        <v>2363.797</v>
      </c>
    </row>
    <row r="31" spans="1:14" ht="13.8">
      <c r="A31" s="15" t="s">
        <v>46</v>
      </c>
      <c r="B31" s="53">
        <f>L30</f>
        <v>2363.797</v>
      </c>
      <c r="C31" s="41">
        <v>2339.5810000000001</v>
      </c>
      <c r="D31" s="41">
        <f>(15180.8*2204.622)/1000000</f>
        <v>33.467925657599999</v>
      </c>
      <c r="E31" s="41">
        <f t="shared" si="6"/>
        <v>4736.8459256576007</v>
      </c>
      <c r="F31" s="53"/>
      <c r="G31" s="53">
        <f t="shared" si="7"/>
        <v>2336.5298038548008</v>
      </c>
      <c r="H31" s="41" t="s">
        <v>75</v>
      </c>
      <c r="I31" s="41" t="s">
        <v>75</v>
      </c>
      <c r="J31" s="41">
        <f>(5807.4*2204.622)/1000000</f>
        <v>12.803121802799998</v>
      </c>
      <c r="K31" s="41">
        <f t="shared" si="9"/>
        <v>2349.3329256576008</v>
      </c>
      <c r="L31" s="53">
        <v>2387.5129999999999</v>
      </c>
    </row>
    <row r="32" spans="1:14" ht="16.2">
      <c r="A32" s="49" t="s">
        <v>76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14.4">
      <c r="A33" s="16" t="s">
        <v>68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3.8">
      <c r="A34" s="21" t="s">
        <v>56</v>
      </c>
      <c r="B34" s="43">
        <f>Contents!A16</f>
        <v>45062</v>
      </c>
      <c r="K34" s="40"/>
    </row>
    <row r="35" spans="1:12">
      <c r="E35" s="40"/>
    </row>
  </sheetData>
  <mergeCells count="3">
    <mergeCell ref="B5:L5"/>
    <mergeCell ref="G2:I2"/>
    <mergeCell ref="B2:E2"/>
  </mergeCells>
  <phoneticPr fontId="28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8.6640625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5" width="7.5546875" customWidth="1"/>
    <col min="19" max="19" width="17.44140625" bestFit="1" customWidth="1"/>
    <col min="21" max="21" width="28.33203125" bestFit="1" customWidth="1"/>
  </cols>
  <sheetData>
    <row r="1" spans="1:15" ht="13.8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</row>
    <row r="2" spans="1:15" ht="13.8">
      <c r="A2" s="16"/>
      <c r="B2" s="161" t="s">
        <v>57</v>
      </c>
      <c r="C2" s="161"/>
      <c r="D2" s="161"/>
      <c r="E2" s="161"/>
      <c r="F2" s="82"/>
      <c r="G2" s="161" t="s">
        <v>58</v>
      </c>
      <c r="H2" s="161"/>
      <c r="I2" s="161"/>
      <c r="J2" s="161"/>
      <c r="K2" s="82"/>
      <c r="L2" s="16"/>
      <c r="M2" s="16"/>
      <c r="N2" s="16"/>
      <c r="O2" s="16"/>
    </row>
    <row r="3" spans="1:15" ht="13.8">
      <c r="A3" s="16" t="s">
        <v>17</v>
      </c>
      <c r="B3" s="21" t="s">
        <v>69</v>
      </c>
      <c r="C3" s="21"/>
      <c r="D3" s="21"/>
      <c r="E3" s="21"/>
      <c r="F3" s="21"/>
      <c r="G3" s="21"/>
      <c r="H3" s="21"/>
      <c r="I3" s="21"/>
      <c r="J3" s="21"/>
      <c r="K3" s="18" t="s">
        <v>59</v>
      </c>
      <c r="L3" s="16"/>
      <c r="M3" s="16"/>
      <c r="N3" s="16"/>
      <c r="O3" s="16"/>
    </row>
    <row r="4" spans="1:15" ht="13.8">
      <c r="A4" s="22" t="s">
        <v>77</v>
      </c>
      <c r="B4" s="24" t="s">
        <v>78</v>
      </c>
      <c r="C4" s="66" t="s">
        <v>26</v>
      </c>
      <c r="D4" s="26" t="s">
        <v>70</v>
      </c>
      <c r="E4" s="24" t="s">
        <v>79</v>
      </c>
      <c r="F4" s="25"/>
      <c r="G4" s="24" t="s">
        <v>80</v>
      </c>
      <c r="H4" s="24" t="s">
        <v>30</v>
      </c>
      <c r="I4" s="24" t="s">
        <v>81</v>
      </c>
      <c r="J4" s="24" t="s">
        <v>82</v>
      </c>
      <c r="K4" s="24" t="s">
        <v>61</v>
      </c>
      <c r="L4" s="16"/>
      <c r="M4" s="16"/>
      <c r="N4" s="16"/>
      <c r="O4" s="16"/>
    </row>
    <row r="5" spans="1:15" ht="14.4">
      <c r="A5" s="16"/>
      <c r="B5" s="166" t="s">
        <v>83</v>
      </c>
      <c r="C5" s="166"/>
      <c r="D5" s="166"/>
      <c r="E5" s="166"/>
      <c r="F5" s="166"/>
      <c r="G5" s="166"/>
      <c r="H5" s="166"/>
      <c r="I5" s="166"/>
      <c r="J5" s="166"/>
      <c r="K5" s="166"/>
      <c r="L5" s="16"/>
      <c r="M5" s="16"/>
      <c r="N5" s="16"/>
      <c r="O5" s="16"/>
    </row>
    <row r="6" spans="1:15" ht="13.8">
      <c r="A6" s="16" t="s">
        <v>37</v>
      </c>
      <c r="B6" s="84">
        <v>395.64255294480427</v>
      </c>
      <c r="C6" s="84">
        <v>5323</v>
      </c>
      <c r="D6" s="85">
        <v>24.765738432900992</v>
      </c>
      <c r="E6" s="84">
        <f>B6+C6+D6</f>
        <v>5743.4082913777056</v>
      </c>
      <c r="F6" s="86"/>
      <c r="G6" s="84">
        <v>1556.9839999999999</v>
      </c>
      <c r="H6" s="87">
        <v>297.69790855776995</v>
      </c>
      <c r="I6" s="84">
        <f>J6-G6-H6</f>
        <v>3493.8003828199353</v>
      </c>
      <c r="J6" s="84">
        <f>E6-K6</f>
        <v>5348.4822913777052</v>
      </c>
      <c r="K6" s="84">
        <v>394.92599999999999</v>
      </c>
      <c r="L6" s="16"/>
      <c r="M6" s="16"/>
      <c r="N6" s="16"/>
      <c r="O6" s="16"/>
    </row>
    <row r="7" spans="1:15" ht="16.2">
      <c r="A7" s="16" t="s">
        <v>188</v>
      </c>
      <c r="B7" s="84">
        <f>K6</f>
        <v>394.92599999999999</v>
      </c>
      <c r="C7" s="84">
        <v>4455</v>
      </c>
      <c r="D7" s="85">
        <v>100</v>
      </c>
      <c r="E7" s="84">
        <f>B7+C7+D7</f>
        <v>4949.9260000000004</v>
      </c>
      <c r="F7" s="86"/>
      <c r="G7" s="84">
        <v>1500</v>
      </c>
      <c r="H7" s="87">
        <v>170</v>
      </c>
      <c r="I7" s="84">
        <f>J7-G7-H7</f>
        <v>2852</v>
      </c>
      <c r="J7" s="84">
        <f>E7-K7</f>
        <v>4522</v>
      </c>
      <c r="K7" s="84">
        <v>427.92599999999999</v>
      </c>
      <c r="L7" s="16"/>
      <c r="M7" s="16"/>
      <c r="N7" s="16"/>
      <c r="O7" s="16"/>
    </row>
    <row r="8" spans="1:15" ht="16.2">
      <c r="A8" s="15" t="s">
        <v>187</v>
      </c>
      <c r="B8" s="88">
        <f>K7</f>
        <v>427.92599999999999</v>
      </c>
      <c r="C8" s="88">
        <v>4835</v>
      </c>
      <c r="D8" s="89">
        <v>25</v>
      </c>
      <c r="E8" s="88">
        <f>B8+C8+D8</f>
        <v>5287.9260000000004</v>
      </c>
      <c r="F8" s="90"/>
      <c r="G8" s="88">
        <v>1550</v>
      </c>
      <c r="H8" s="91">
        <v>300</v>
      </c>
      <c r="I8" s="88">
        <f>J8-G8-H8</f>
        <v>3000</v>
      </c>
      <c r="J8" s="88">
        <f>E8-K8</f>
        <v>4850</v>
      </c>
      <c r="K8" s="88">
        <v>437.92599999999999</v>
      </c>
      <c r="L8" s="16"/>
      <c r="M8" s="16"/>
      <c r="N8" s="16"/>
      <c r="O8" s="16"/>
    </row>
    <row r="9" spans="1:15" ht="16.2">
      <c r="A9" s="49" t="s">
        <v>84</v>
      </c>
      <c r="B9" s="16"/>
      <c r="C9" s="83"/>
      <c r="D9" s="83"/>
      <c r="E9" s="83"/>
      <c r="F9" s="83"/>
      <c r="G9" s="92"/>
      <c r="H9" s="83"/>
      <c r="I9" s="83"/>
      <c r="J9" s="83"/>
      <c r="K9" s="16"/>
      <c r="L9" s="16"/>
      <c r="M9" s="16"/>
      <c r="N9" s="16"/>
      <c r="O9" s="16"/>
    </row>
    <row r="10" spans="1:15" ht="14.4">
      <c r="A10" s="16" t="s">
        <v>182</v>
      </c>
      <c r="B10" s="34"/>
      <c r="C10" s="39"/>
      <c r="D10" s="16"/>
      <c r="E10" s="34"/>
      <c r="F10" s="34"/>
      <c r="G10" s="34"/>
      <c r="H10" s="34"/>
      <c r="I10" s="34"/>
      <c r="J10" s="34"/>
      <c r="K10" s="16"/>
      <c r="L10" s="16"/>
      <c r="M10" s="16"/>
      <c r="N10" s="16"/>
      <c r="O10" s="16"/>
    </row>
    <row r="11" spans="1:15" ht="14.4">
      <c r="A11" s="16" t="s">
        <v>85</v>
      </c>
      <c r="B11" s="34"/>
      <c r="C11" s="39"/>
      <c r="D11" s="16"/>
      <c r="E11" s="34"/>
      <c r="F11" s="34"/>
      <c r="G11" s="34"/>
      <c r="H11" s="34"/>
      <c r="I11" s="34"/>
      <c r="J11" s="34"/>
      <c r="K11" s="16"/>
      <c r="L11" s="16"/>
      <c r="M11" s="16"/>
      <c r="N11" s="16"/>
      <c r="O11" s="16"/>
    </row>
    <row r="12" spans="1:15" ht="13.8">
      <c r="A12" s="16"/>
      <c r="B12" s="34"/>
      <c r="C12" s="39"/>
      <c r="D12" s="16"/>
      <c r="E12" s="34"/>
      <c r="F12" s="34"/>
      <c r="G12" s="34"/>
      <c r="H12" s="34"/>
      <c r="I12" s="34"/>
      <c r="J12" s="34"/>
      <c r="K12" s="16"/>
      <c r="L12" s="16"/>
      <c r="M12" s="16"/>
      <c r="N12" s="16"/>
      <c r="O12" s="16"/>
    </row>
    <row r="13" spans="1:15" ht="13.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3.8">
      <c r="A14" s="15" t="s">
        <v>5</v>
      </c>
      <c r="B14" s="15"/>
      <c r="C14" s="15"/>
      <c r="D14" s="15"/>
      <c r="E14" s="15"/>
      <c r="F14" s="15"/>
      <c r="G14" s="15"/>
      <c r="H14" s="15"/>
      <c r="I14" s="16"/>
      <c r="J14" s="15"/>
      <c r="K14" s="16"/>
      <c r="L14" s="16"/>
      <c r="M14" s="16"/>
      <c r="N14" s="16"/>
      <c r="O14" s="16"/>
    </row>
    <row r="15" spans="1:15" ht="13.8">
      <c r="A15" s="16"/>
      <c r="B15" s="161" t="s">
        <v>57</v>
      </c>
      <c r="C15" s="161"/>
      <c r="D15" s="161"/>
      <c r="E15" s="161"/>
      <c r="F15" s="16"/>
      <c r="G15" s="161" t="s">
        <v>58</v>
      </c>
      <c r="H15" s="161"/>
      <c r="I15" s="161"/>
      <c r="J15" s="16"/>
      <c r="K15" s="16"/>
      <c r="L15" s="16"/>
      <c r="M15" s="16"/>
      <c r="N15" s="16"/>
      <c r="O15" s="16"/>
    </row>
    <row r="16" spans="1:15" ht="13.8">
      <c r="A16" s="16" t="s">
        <v>17</v>
      </c>
      <c r="B16" s="18" t="s">
        <v>69</v>
      </c>
      <c r="C16" s="21"/>
      <c r="D16" s="21"/>
      <c r="E16" s="21"/>
      <c r="F16" s="21"/>
      <c r="G16" s="21"/>
      <c r="H16" s="21"/>
      <c r="I16" s="21"/>
      <c r="J16" s="18" t="s">
        <v>59</v>
      </c>
      <c r="K16" s="16"/>
      <c r="L16" s="16"/>
      <c r="M16" s="16"/>
      <c r="N16" s="16"/>
      <c r="O16" s="16"/>
    </row>
    <row r="17" spans="1:15" ht="13.8">
      <c r="A17" s="22" t="s">
        <v>60</v>
      </c>
      <c r="B17" s="24" t="s">
        <v>61</v>
      </c>
      <c r="C17" s="66" t="s">
        <v>26</v>
      </c>
      <c r="D17" s="26" t="s">
        <v>70</v>
      </c>
      <c r="E17" s="24" t="s">
        <v>82</v>
      </c>
      <c r="F17" s="25"/>
      <c r="G17" s="84" t="s">
        <v>86</v>
      </c>
      <c r="H17" s="24" t="s">
        <v>30</v>
      </c>
      <c r="I17" s="26" t="s">
        <v>62</v>
      </c>
      <c r="J17" s="24" t="s">
        <v>61</v>
      </c>
      <c r="K17" s="16"/>
      <c r="L17" s="16"/>
      <c r="M17" s="16"/>
      <c r="N17" s="16"/>
      <c r="O17" s="16"/>
    </row>
    <row r="18" spans="1:15" ht="14.4">
      <c r="A18" s="16"/>
      <c r="B18" s="166" t="s">
        <v>87</v>
      </c>
      <c r="C18" s="166"/>
      <c r="D18" s="166"/>
      <c r="E18" s="166"/>
      <c r="F18" s="166"/>
      <c r="G18" s="166"/>
      <c r="H18" s="166"/>
      <c r="I18" s="166"/>
      <c r="J18" s="166"/>
      <c r="K18" s="16"/>
      <c r="L18" s="16"/>
      <c r="M18" s="16"/>
      <c r="N18" s="16"/>
      <c r="O18" s="16"/>
    </row>
    <row r="19" spans="1:15" ht="13.8">
      <c r="A19" s="16" t="s">
        <v>37</v>
      </c>
      <c r="B19" s="84">
        <v>39.305999999999997</v>
      </c>
      <c r="C19" s="87">
        <v>695</v>
      </c>
      <c r="D19" s="116">
        <v>0.10141264051999997</v>
      </c>
      <c r="E19" s="87">
        <f>B19+C19+D19</f>
        <v>734.40741264052008</v>
      </c>
      <c r="F19" s="86"/>
      <c r="G19" s="87">
        <f>E19-J19-H19</f>
        <v>658.743182863843</v>
      </c>
      <c r="H19" s="87">
        <v>53.348229776676988</v>
      </c>
      <c r="I19" s="87">
        <f>SUM(G19:H19)</f>
        <v>712.09141264052005</v>
      </c>
      <c r="J19" s="84">
        <v>22.315999999999999</v>
      </c>
      <c r="K19" s="16"/>
      <c r="L19" s="16"/>
      <c r="M19" s="16"/>
      <c r="N19" s="16"/>
      <c r="O19" s="16"/>
    </row>
    <row r="20" spans="1:15" ht="16.2">
      <c r="A20" s="16" t="s">
        <v>188</v>
      </c>
      <c r="B20" s="84">
        <f>J19</f>
        <v>22.315999999999999</v>
      </c>
      <c r="C20" s="87">
        <v>630</v>
      </c>
      <c r="D20" s="85">
        <v>0</v>
      </c>
      <c r="E20" s="87">
        <f>B20+C20+D20</f>
        <v>652.31600000000003</v>
      </c>
      <c r="F20" s="86"/>
      <c r="G20" s="87">
        <f>E20-J20-H20</f>
        <v>552.31600000000003</v>
      </c>
      <c r="H20" s="87">
        <v>60</v>
      </c>
      <c r="I20" s="87">
        <f>SUM(G20:H20)</f>
        <v>612.31600000000003</v>
      </c>
      <c r="J20" s="84">
        <v>40</v>
      </c>
      <c r="K20" s="16"/>
      <c r="L20" s="16"/>
      <c r="M20" s="16"/>
      <c r="N20" s="16"/>
      <c r="O20" s="16"/>
    </row>
    <row r="21" spans="1:15" ht="16.2">
      <c r="A21" s="15" t="s">
        <v>187</v>
      </c>
      <c r="B21" s="88">
        <f>J20</f>
        <v>40</v>
      </c>
      <c r="C21" s="91">
        <v>700</v>
      </c>
      <c r="D21" s="89">
        <v>0</v>
      </c>
      <c r="E21" s="91">
        <f>B21+C21+D21</f>
        <v>740</v>
      </c>
      <c r="F21" s="90"/>
      <c r="G21" s="91">
        <f>E21-J21-H21</f>
        <v>620</v>
      </c>
      <c r="H21" s="91">
        <v>80</v>
      </c>
      <c r="I21" s="91">
        <f>SUM(G21:H21)</f>
        <v>700</v>
      </c>
      <c r="J21" s="88">
        <v>40</v>
      </c>
      <c r="K21" s="16"/>
      <c r="L21" s="16"/>
      <c r="M21" s="16"/>
      <c r="N21" s="16"/>
      <c r="O21" s="16"/>
    </row>
    <row r="22" spans="1:15" ht="16.2">
      <c r="A22" s="49" t="s">
        <v>84</v>
      </c>
      <c r="B22" s="16"/>
      <c r="C22" s="83"/>
      <c r="D22" s="83"/>
      <c r="E22" s="83"/>
      <c r="F22" s="83"/>
      <c r="G22" s="83"/>
      <c r="H22" s="83"/>
      <c r="I22" s="16"/>
      <c r="J22" s="16"/>
      <c r="K22" s="16"/>
      <c r="L22" s="16"/>
      <c r="M22" s="16"/>
      <c r="N22" s="16"/>
      <c r="O22" s="16"/>
    </row>
    <row r="23" spans="1:15" ht="14.4">
      <c r="A23" s="16" t="s">
        <v>88</v>
      </c>
      <c r="B23" s="86"/>
      <c r="C23" s="86"/>
      <c r="D23" s="86"/>
      <c r="E23" s="86"/>
      <c r="F23" s="86"/>
      <c r="G23" s="86"/>
      <c r="H23" s="86"/>
      <c r="I23" s="16"/>
      <c r="J23" s="16"/>
      <c r="K23" s="16"/>
      <c r="L23" s="16"/>
      <c r="M23" s="16"/>
      <c r="N23" s="16"/>
      <c r="O23" s="16"/>
    </row>
    <row r="24" spans="1:15" ht="13.8">
      <c r="A24" s="16"/>
      <c r="B24" s="34"/>
      <c r="C24" s="34"/>
      <c r="D24" s="34"/>
      <c r="E24" s="34"/>
      <c r="F24" s="34"/>
      <c r="G24" s="34"/>
      <c r="H24" s="34"/>
      <c r="I24" s="16"/>
      <c r="J24" s="16"/>
      <c r="K24" s="16"/>
      <c r="L24" s="16"/>
      <c r="M24" s="16"/>
      <c r="N24" s="16"/>
      <c r="O24" s="16"/>
    </row>
    <row r="25" spans="1:15" ht="13.8">
      <c r="A25" s="16"/>
      <c r="B25" s="34"/>
      <c r="C25" s="39"/>
      <c r="D25" s="34"/>
      <c r="E25" s="34"/>
      <c r="F25" s="34"/>
      <c r="G25" s="34"/>
      <c r="H25" s="34"/>
      <c r="I25" s="16"/>
      <c r="J25" s="16"/>
      <c r="K25" s="16"/>
      <c r="L25" s="16"/>
      <c r="M25" s="16"/>
      <c r="N25" s="16"/>
      <c r="O25" s="16"/>
    </row>
    <row r="26" spans="1:15" ht="13.8">
      <c r="A26" s="15" t="s">
        <v>6</v>
      </c>
      <c r="B26" s="15"/>
      <c r="C26" s="15"/>
      <c r="D26" s="15"/>
      <c r="E26" s="15"/>
      <c r="F26" s="15"/>
      <c r="G26" s="15"/>
      <c r="H26" s="15"/>
      <c r="I26" s="16"/>
      <c r="J26" s="15"/>
      <c r="K26" s="16"/>
      <c r="L26" s="16"/>
      <c r="M26" s="16"/>
      <c r="N26" s="16"/>
      <c r="O26" s="16"/>
    </row>
    <row r="27" spans="1:15" ht="13.8">
      <c r="A27" s="16"/>
      <c r="B27" s="161" t="s">
        <v>57</v>
      </c>
      <c r="C27" s="161"/>
      <c r="D27" s="161"/>
      <c r="E27" s="161"/>
      <c r="F27" s="16"/>
      <c r="G27" s="161" t="s">
        <v>58</v>
      </c>
      <c r="H27" s="161"/>
      <c r="I27" s="161"/>
      <c r="J27" s="16"/>
      <c r="K27" s="16"/>
      <c r="L27" s="16"/>
      <c r="M27" s="16"/>
      <c r="N27" s="16"/>
      <c r="O27" s="16"/>
    </row>
    <row r="28" spans="1:15" ht="13.8">
      <c r="A28" s="16" t="s">
        <v>17</v>
      </c>
      <c r="B28" s="18" t="s">
        <v>69</v>
      </c>
      <c r="C28" s="21"/>
      <c r="D28" s="21"/>
      <c r="E28" s="21"/>
      <c r="F28" s="21"/>
      <c r="G28" s="21"/>
      <c r="H28" s="21"/>
      <c r="I28" s="21"/>
      <c r="J28" s="18" t="s">
        <v>59</v>
      </c>
      <c r="K28" s="16"/>
      <c r="L28" s="16"/>
      <c r="M28" s="16"/>
      <c r="N28" s="16"/>
      <c r="O28" s="16"/>
    </row>
    <row r="29" spans="1:15" ht="13.8">
      <c r="A29" s="22" t="s">
        <v>60</v>
      </c>
      <c r="B29" s="24" t="s">
        <v>61</v>
      </c>
      <c r="C29" s="24" t="s">
        <v>26</v>
      </c>
      <c r="D29" s="26" t="s">
        <v>70</v>
      </c>
      <c r="E29" s="24" t="s">
        <v>82</v>
      </c>
      <c r="F29" s="25"/>
      <c r="G29" s="24" t="s">
        <v>63</v>
      </c>
      <c r="H29" s="24" t="s">
        <v>30</v>
      </c>
      <c r="I29" s="24" t="s">
        <v>62</v>
      </c>
      <c r="J29" s="24" t="s">
        <v>65</v>
      </c>
      <c r="K29" s="16"/>
      <c r="L29" s="16"/>
      <c r="M29" s="16"/>
      <c r="N29" s="16"/>
      <c r="O29" s="16"/>
    </row>
    <row r="30" spans="1:15" ht="14.4">
      <c r="A30" s="16"/>
      <c r="B30" s="166" t="s">
        <v>74</v>
      </c>
      <c r="C30" s="166"/>
      <c r="D30" s="166"/>
      <c r="E30" s="166"/>
      <c r="F30" s="166"/>
      <c r="G30" s="166"/>
      <c r="H30" s="166"/>
      <c r="I30" s="166"/>
      <c r="J30" s="166"/>
      <c r="K30" s="16"/>
      <c r="L30" s="16"/>
      <c r="M30" s="16"/>
      <c r="N30" s="16"/>
      <c r="O30" s="16"/>
    </row>
    <row r="31" spans="1:15" ht="13.8">
      <c r="A31" s="16" t="s">
        <v>37</v>
      </c>
      <c r="B31" s="85">
        <v>48.207999999999998</v>
      </c>
      <c r="C31" s="87">
        <v>430</v>
      </c>
      <c r="D31" s="85">
        <v>24.878284417651997</v>
      </c>
      <c r="E31" s="93">
        <f>B31+C31+D31</f>
        <v>503.086284417652</v>
      </c>
      <c r="F31" s="86"/>
      <c r="G31" s="87">
        <f>I31-H31</f>
        <v>325.59072038149202</v>
      </c>
      <c r="H31" s="87">
        <v>127.79756403616</v>
      </c>
      <c r="I31" s="87">
        <f>E31-J31</f>
        <v>453.38828441765202</v>
      </c>
      <c r="J31" s="87">
        <v>49.698</v>
      </c>
      <c r="K31" s="16"/>
      <c r="L31" s="16"/>
      <c r="M31" s="16"/>
      <c r="N31" s="16"/>
      <c r="O31" s="16"/>
    </row>
    <row r="32" spans="1:15" ht="16.2">
      <c r="A32" s="16" t="s">
        <v>188</v>
      </c>
      <c r="B32" s="85">
        <f>J31</f>
        <v>49.698</v>
      </c>
      <c r="C32" s="87">
        <v>400</v>
      </c>
      <c r="D32" s="85">
        <v>20</v>
      </c>
      <c r="E32" s="93">
        <f>B32+C32+D32</f>
        <v>469.69799999999998</v>
      </c>
      <c r="F32" s="86"/>
      <c r="G32" s="87">
        <f>I32-H32</f>
        <v>339.69799999999998</v>
      </c>
      <c r="H32" s="87">
        <v>80</v>
      </c>
      <c r="I32" s="87">
        <f>E32-J32</f>
        <v>419.69799999999998</v>
      </c>
      <c r="J32" s="87">
        <v>50</v>
      </c>
      <c r="K32" s="16"/>
      <c r="L32" s="16"/>
      <c r="M32" s="16"/>
      <c r="N32" s="16"/>
      <c r="O32" s="16"/>
    </row>
    <row r="33" spans="1:17" ht="16.2">
      <c r="A33" s="15" t="s">
        <v>187</v>
      </c>
      <c r="B33" s="89">
        <f>J32</f>
        <v>50</v>
      </c>
      <c r="C33" s="91">
        <v>420</v>
      </c>
      <c r="D33" s="89">
        <v>20</v>
      </c>
      <c r="E33" s="94">
        <f>B33+C33+D33</f>
        <v>490</v>
      </c>
      <c r="F33" s="90"/>
      <c r="G33" s="91">
        <f>I33-H33</f>
        <v>360.30200000000002</v>
      </c>
      <c r="H33" s="91">
        <v>80</v>
      </c>
      <c r="I33" s="91">
        <f>E33-J33</f>
        <v>440.30200000000002</v>
      </c>
      <c r="J33" s="91">
        <v>49.698</v>
      </c>
      <c r="K33" s="16"/>
      <c r="L33" s="16"/>
      <c r="M33" s="16"/>
      <c r="N33" s="16"/>
      <c r="O33" s="16"/>
    </row>
    <row r="34" spans="1:17" ht="16.2">
      <c r="A34" s="49" t="s">
        <v>84</v>
      </c>
      <c r="B34" s="16"/>
      <c r="C34" s="83"/>
      <c r="D34" s="83"/>
      <c r="E34" s="83"/>
      <c r="F34" s="83"/>
      <c r="G34" s="83"/>
      <c r="H34" s="83"/>
      <c r="I34" s="16"/>
      <c r="J34" s="16"/>
      <c r="K34" s="16"/>
      <c r="L34" s="16"/>
      <c r="M34" s="16"/>
      <c r="N34" s="16"/>
      <c r="O34" s="16"/>
    </row>
    <row r="35" spans="1:17" ht="14.4">
      <c r="A35" s="16" t="s">
        <v>88</v>
      </c>
      <c r="B35" s="34"/>
      <c r="C35" s="39"/>
      <c r="D35" s="34"/>
      <c r="E35" s="34"/>
      <c r="F35" s="34"/>
      <c r="G35" s="34"/>
      <c r="H35" s="34"/>
      <c r="I35" s="16"/>
      <c r="J35" s="16"/>
      <c r="K35" s="16"/>
      <c r="L35" s="16"/>
      <c r="M35" s="16"/>
      <c r="N35" s="16"/>
      <c r="O35" s="16"/>
    </row>
    <row r="36" spans="1:17" ht="13.8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7" ht="13.8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7" ht="13.8">
      <c r="A38" s="15" t="s">
        <v>7</v>
      </c>
      <c r="B38" s="15"/>
      <c r="C38" s="15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</row>
    <row r="39" spans="1:17" ht="13.8">
      <c r="A39" s="16"/>
      <c r="B39" s="161" t="s">
        <v>13</v>
      </c>
      <c r="C39" s="161"/>
      <c r="D39" s="18" t="s">
        <v>14</v>
      </c>
      <c r="E39" s="161" t="s">
        <v>15</v>
      </c>
      <c r="F39" s="161"/>
      <c r="G39" s="161"/>
      <c r="H39" s="161"/>
      <c r="I39" s="16"/>
      <c r="J39" s="161" t="s">
        <v>58</v>
      </c>
      <c r="K39" s="161"/>
      <c r="L39" s="161"/>
      <c r="M39" s="161"/>
      <c r="N39" s="161"/>
      <c r="O39" s="82"/>
    </row>
    <row r="40" spans="1:17" ht="13.8">
      <c r="A40" s="16" t="s">
        <v>17</v>
      </c>
      <c r="B40" s="18" t="s">
        <v>18</v>
      </c>
      <c r="C40" s="18" t="s">
        <v>19</v>
      </c>
      <c r="D40" s="16"/>
      <c r="E40" s="18" t="s">
        <v>69</v>
      </c>
      <c r="F40" s="18"/>
      <c r="G40" s="18"/>
      <c r="H40" s="18"/>
      <c r="I40" s="16"/>
      <c r="J40" s="63" t="s">
        <v>86</v>
      </c>
      <c r="K40" s="18"/>
      <c r="L40" s="18" t="s">
        <v>22</v>
      </c>
      <c r="M40" s="18"/>
      <c r="N40" s="18"/>
      <c r="O40" s="18" t="s">
        <v>59</v>
      </c>
    </row>
    <row r="41" spans="1:17" ht="13.8">
      <c r="A41" s="22" t="s">
        <v>77</v>
      </c>
      <c r="B41" s="23"/>
      <c r="C41" s="23"/>
      <c r="D41" s="23"/>
      <c r="E41" s="24" t="s">
        <v>61</v>
      </c>
      <c r="F41" s="24" t="s">
        <v>26</v>
      </c>
      <c r="G41" s="24" t="s">
        <v>70</v>
      </c>
      <c r="H41" s="24" t="s">
        <v>82</v>
      </c>
      <c r="I41" s="24"/>
      <c r="J41" s="24" t="s">
        <v>89</v>
      </c>
      <c r="K41" s="24" t="s">
        <v>80</v>
      </c>
      <c r="L41" s="24" t="s">
        <v>29</v>
      </c>
      <c r="M41" s="26" t="s">
        <v>30</v>
      </c>
      <c r="N41" s="24" t="s">
        <v>62</v>
      </c>
      <c r="O41" s="24" t="s">
        <v>65</v>
      </c>
    </row>
    <row r="42" spans="1:17" ht="14.4">
      <c r="A42" s="16"/>
      <c r="B42" s="164" t="s">
        <v>90</v>
      </c>
      <c r="C42" s="165"/>
      <c r="D42" s="95" t="s">
        <v>91</v>
      </c>
      <c r="E42" s="167" t="s">
        <v>92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5"/>
    </row>
    <row r="43" spans="1:17" ht="13.8">
      <c r="A43" s="16"/>
      <c r="B43" s="18"/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7" ht="13.8">
      <c r="A44" s="16" t="s">
        <v>37</v>
      </c>
      <c r="B44" s="84">
        <v>1580.2</v>
      </c>
      <c r="C44" s="84">
        <v>1540.1</v>
      </c>
      <c r="D44" s="84">
        <f>F44*1000/C44</f>
        <v>4130.4662034932799</v>
      </c>
      <c r="E44" s="84">
        <v>1968.162</v>
      </c>
      <c r="F44" s="84">
        <v>6361.3310000000001</v>
      </c>
      <c r="G44" s="87">
        <v>107.105</v>
      </c>
      <c r="H44" s="84">
        <f>SUM(E44:G44)</f>
        <v>8436.598</v>
      </c>
      <c r="I44" s="84"/>
      <c r="J44" s="84">
        <v>3313.1</v>
      </c>
      <c r="K44" s="84">
        <v>842.43200000000002</v>
      </c>
      <c r="L44" s="87">
        <f t="shared" ref="L44:L46" si="0">N44-J44-K44-M44</f>
        <v>738.31830540849705</v>
      </c>
      <c r="M44" s="87">
        <v>1182.4906945915034</v>
      </c>
      <c r="N44" s="84">
        <f>H44-O44</f>
        <v>6076.3410000000003</v>
      </c>
      <c r="O44" s="84">
        <v>2360.2570000000001</v>
      </c>
      <c r="P44" s="114"/>
    </row>
    <row r="45" spans="1:17" ht="16.2">
      <c r="A45" s="16" t="s">
        <v>188</v>
      </c>
      <c r="B45" s="84">
        <v>1450.3</v>
      </c>
      <c r="C45" s="84">
        <v>1385.4</v>
      </c>
      <c r="D45" s="84">
        <f>F45*1000/C45</f>
        <v>4019.1641403204849</v>
      </c>
      <c r="E45" s="84">
        <f>O44</f>
        <v>2360.2570000000001</v>
      </c>
      <c r="F45" s="84">
        <v>5568.15</v>
      </c>
      <c r="G45" s="87">
        <v>110</v>
      </c>
      <c r="H45" s="84">
        <f>SUM(E45:G45)</f>
        <v>8038.4069999999992</v>
      </c>
      <c r="I45" s="84"/>
      <c r="J45" s="84">
        <v>3287.3134918856595</v>
      </c>
      <c r="K45" s="84">
        <v>800</v>
      </c>
      <c r="L45" s="87">
        <f t="shared" si="0"/>
        <v>650.19000000000051</v>
      </c>
      <c r="M45" s="87">
        <v>1100</v>
      </c>
      <c r="N45" s="84">
        <f>H45-O45</f>
        <v>5837.50349188566</v>
      </c>
      <c r="O45" s="84">
        <v>2200.9035081143393</v>
      </c>
      <c r="P45" s="114"/>
      <c r="Q45" s="114"/>
    </row>
    <row r="46" spans="1:17" ht="16.2">
      <c r="A46" s="15" t="s">
        <v>187</v>
      </c>
      <c r="B46" s="88">
        <v>1547</v>
      </c>
      <c r="C46" s="88">
        <v>1485.12</v>
      </c>
      <c r="D46" s="88">
        <f>F46*1000/C46</f>
        <v>4228.6145227321704</v>
      </c>
      <c r="E46" s="88">
        <f>O45</f>
        <v>2200.9035081143393</v>
      </c>
      <c r="F46" s="88">
        <v>6280</v>
      </c>
      <c r="G46" s="91">
        <v>115</v>
      </c>
      <c r="H46" s="88">
        <f>SUM(E46:G46)</f>
        <v>8595.9035081143393</v>
      </c>
      <c r="I46" s="88"/>
      <c r="J46" s="88">
        <v>3329.5072105342301</v>
      </c>
      <c r="K46" s="88">
        <v>850</v>
      </c>
      <c r="L46" s="91">
        <f t="shared" si="0"/>
        <v>754.62499999999955</v>
      </c>
      <c r="M46" s="91">
        <v>1300</v>
      </c>
      <c r="N46" s="88">
        <f>H46-O46</f>
        <v>6234.1322105342297</v>
      </c>
      <c r="O46" s="88">
        <v>2361.7712975801096</v>
      </c>
      <c r="P46" s="114"/>
      <c r="Q46" s="114"/>
    </row>
    <row r="47" spans="1:17" ht="16.2">
      <c r="A47" s="49" t="s">
        <v>84</v>
      </c>
      <c r="B47" s="16"/>
      <c r="C47" s="83"/>
      <c r="D47" s="83"/>
      <c r="E47" s="83"/>
      <c r="F47" s="83"/>
      <c r="G47" s="83"/>
      <c r="H47" s="83"/>
      <c r="I47" s="16"/>
      <c r="J47" s="16"/>
      <c r="K47" s="16"/>
      <c r="L47" s="16"/>
      <c r="M47" s="16"/>
      <c r="N47" s="16"/>
      <c r="O47" s="16"/>
    </row>
    <row r="48" spans="1:17" ht="14.4">
      <c r="A48" s="16" t="s">
        <v>183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4.4">
      <c r="A49" s="16" t="s">
        <v>85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3.8">
      <c r="A50" s="21" t="s">
        <v>56</v>
      </c>
      <c r="B50" s="96">
        <f>Contents!A16</f>
        <v>45062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44.4" customHeight="1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</row>
    <row r="52" spans="1:15" ht="15.6">
      <c r="G52" s="72"/>
      <c r="H52" s="72"/>
    </row>
    <row r="53" spans="1:15" ht="15.6">
      <c r="G53" s="72"/>
      <c r="H53" s="72"/>
    </row>
    <row r="54" spans="1:15" ht="15.6">
      <c r="G54" s="72"/>
      <c r="H54" s="72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28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5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5" width="25.6640625" bestFit="1" customWidth="1"/>
    <col min="6" max="6" width="16.6640625" bestFit="1" customWidth="1"/>
    <col min="7" max="7" width="18.88671875" bestFit="1" customWidth="1"/>
  </cols>
  <sheetData>
    <row r="1" spans="1:7" ht="15.6" customHeight="1">
      <c r="A1" s="15" t="s">
        <v>8</v>
      </c>
      <c r="B1" s="15"/>
      <c r="C1" s="15"/>
      <c r="D1" s="15"/>
      <c r="E1" s="15"/>
      <c r="F1" s="15"/>
      <c r="G1" s="15"/>
    </row>
    <row r="2" spans="1:7" ht="15.6" customHeight="1">
      <c r="A2" s="16" t="s">
        <v>93</v>
      </c>
      <c r="B2" s="18" t="s">
        <v>94</v>
      </c>
      <c r="C2" s="18" t="s">
        <v>95</v>
      </c>
      <c r="D2" s="18" t="s">
        <v>96</v>
      </c>
      <c r="E2" s="18" t="s">
        <v>97</v>
      </c>
      <c r="F2" s="18" t="s">
        <v>98</v>
      </c>
      <c r="G2" s="18" t="s">
        <v>99</v>
      </c>
    </row>
    <row r="3" spans="1:7" ht="15.6" customHeight="1">
      <c r="A3" s="15" t="s">
        <v>100</v>
      </c>
      <c r="B3" s="25"/>
      <c r="C3" s="54"/>
      <c r="D3" s="54"/>
      <c r="E3" s="54"/>
      <c r="F3" s="54"/>
      <c r="G3" s="54"/>
    </row>
    <row r="4" spans="1:7" ht="14.4">
      <c r="A4" s="55"/>
      <c r="B4" s="56" t="s">
        <v>101</v>
      </c>
      <c r="C4" s="56" t="s">
        <v>102</v>
      </c>
      <c r="D4" s="56" t="s">
        <v>103</v>
      </c>
      <c r="E4" s="56" t="s">
        <v>103</v>
      </c>
      <c r="F4" s="56" t="s">
        <v>104</v>
      </c>
      <c r="G4" s="56" t="s">
        <v>101</v>
      </c>
    </row>
    <row r="5" spans="1:7" ht="13.8">
      <c r="A5" s="16"/>
      <c r="B5" s="16"/>
      <c r="C5" s="16"/>
      <c r="D5" s="18"/>
      <c r="E5" s="16"/>
      <c r="F5" s="16"/>
      <c r="G5" s="16"/>
    </row>
    <row r="6" spans="1:7" ht="13.8">
      <c r="A6" s="16" t="s">
        <v>105</v>
      </c>
      <c r="B6" s="57">
        <v>11.3</v>
      </c>
      <c r="C6" s="57">
        <v>161</v>
      </c>
      <c r="D6" s="57">
        <v>23.3</v>
      </c>
      <c r="E6" s="57">
        <v>19.3</v>
      </c>
      <c r="F6" s="57">
        <v>22.5</v>
      </c>
      <c r="G6" s="57">
        <v>12.2</v>
      </c>
    </row>
    <row r="7" spans="1:7" ht="13.8">
      <c r="A7" s="16" t="s">
        <v>106</v>
      </c>
      <c r="B7" s="57">
        <v>12.5</v>
      </c>
      <c r="C7" s="57">
        <v>260</v>
      </c>
      <c r="D7" s="57">
        <v>29.1</v>
      </c>
      <c r="E7" s="57">
        <v>24</v>
      </c>
      <c r="F7" s="57">
        <v>31.8</v>
      </c>
      <c r="G7" s="57">
        <v>13.9</v>
      </c>
    </row>
    <row r="8" spans="1:7" ht="13.8">
      <c r="A8" s="16" t="s">
        <v>107</v>
      </c>
      <c r="B8" s="57">
        <v>14.4</v>
      </c>
      <c r="C8" s="57">
        <v>252</v>
      </c>
      <c r="D8" s="57">
        <v>25.4</v>
      </c>
      <c r="E8" s="57">
        <v>26.5</v>
      </c>
      <c r="F8" s="57">
        <v>30.1</v>
      </c>
      <c r="G8" s="57">
        <v>13.8</v>
      </c>
    </row>
    <row r="9" spans="1:7" ht="13.8">
      <c r="A9" s="16" t="s">
        <v>108</v>
      </c>
      <c r="B9" s="57">
        <v>13</v>
      </c>
      <c r="C9" s="57">
        <v>246</v>
      </c>
      <c r="D9" s="57">
        <v>21.4</v>
      </c>
      <c r="E9" s="57">
        <v>20.6</v>
      </c>
      <c r="F9" s="57">
        <v>24.9</v>
      </c>
      <c r="G9" s="57">
        <v>13.8</v>
      </c>
    </row>
    <row r="10" spans="1:7" ht="13.8">
      <c r="A10" s="16" t="s">
        <v>109</v>
      </c>
      <c r="B10" s="57">
        <v>10.1</v>
      </c>
      <c r="C10" s="57">
        <v>194</v>
      </c>
      <c r="D10" s="57">
        <v>21.7</v>
      </c>
      <c r="E10" s="57">
        <v>16.899999999999999</v>
      </c>
      <c r="F10" s="57">
        <v>22</v>
      </c>
      <c r="G10" s="57">
        <v>11.8</v>
      </c>
    </row>
    <row r="11" spans="1:7" ht="13.8">
      <c r="A11" s="16" t="s">
        <v>110</v>
      </c>
      <c r="B11" s="57">
        <v>8.9499999999999993</v>
      </c>
      <c r="C11" s="57">
        <v>227</v>
      </c>
      <c r="D11" s="57">
        <v>19.600000000000001</v>
      </c>
      <c r="E11" s="57">
        <v>15.6</v>
      </c>
      <c r="F11" s="57">
        <v>19.3</v>
      </c>
      <c r="G11" s="57">
        <v>8.9499999999999993</v>
      </c>
    </row>
    <row r="12" spans="1:7" ht="13.8">
      <c r="A12" s="16" t="s">
        <v>111</v>
      </c>
      <c r="B12" s="57">
        <v>9.4700000000000006</v>
      </c>
      <c r="C12" s="57">
        <v>195</v>
      </c>
      <c r="D12" s="57">
        <v>17.399999999999999</v>
      </c>
      <c r="E12" s="57">
        <v>16.600000000000001</v>
      </c>
      <c r="F12" s="57">
        <v>19.7</v>
      </c>
      <c r="G12" s="57">
        <v>8</v>
      </c>
    </row>
    <row r="13" spans="1:7" ht="13.8">
      <c r="A13" s="16" t="s">
        <v>112</v>
      </c>
      <c r="B13" s="57">
        <v>9.33</v>
      </c>
      <c r="C13" s="57">
        <v>142</v>
      </c>
      <c r="D13" s="57">
        <v>17.2</v>
      </c>
      <c r="E13" s="57">
        <v>17.5</v>
      </c>
      <c r="F13" s="57">
        <v>22.9</v>
      </c>
      <c r="G13" s="57">
        <v>9.5299999999999994</v>
      </c>
    </row>
    <row r="14" spans="1:7" ht="13.8">
      <c r="A14" s="16" t="s">
        <v>113</v>
      </c>
      <c r="B14" s="57">
        <v>8.48</v>
      </c>
      <c r="C14" s="57">
        <v>155</v>
      </c>
      <c r="D14" s="57">
        <v>17.399999999999999</v>
      </c>
      <c r="E14" s="57">
        <v>15.8</v>
      </c>
      <c r="F14" s="57">
        <v>21.5</v>
      </c>
      <c r="G14" s="57">
        <v>9.89</v>
      </c>
    </row>
    <row r="15" spans="1:7" ht="13.8">
      <c r="A15" s="16" t="s">
        <v>114</v>
      </c>
      <c r="B15" s="57">
        <v>8.57</v>
      </c>
      <c r="C15" s="57">
        <v>161</v>
      </c>
      <c r="D15" s="57">
        <v>19.5</v>
      </c>
      <c r="E15" s="57">
        <v>14.8</v>
      </c>
      <c r="F15" s="57">
        <v>20.5</v>
      </c>
      <c r="G15" s="57">
        <v>9.15</v>
      </c>
    </row>
    <row r="16" spans="1:7" ht="13.8">
      <c r="A16" s="16" t="s">
        <v>34</v>
      </c>
      <c r="B16" s="57">
        <v>10.8</v>
      </c>
      <c r="C16" s="57">
        <v>194</v>
      </c>
      <c r="D16" s="57">
        <v>21.3</v>
      </c>
      <c r="E16" s="57">
        <v>18.400000000000002</v>
      </c>
      <c r="F16" s="57">
        <v>21</v>
      </c>
      <c r="G16" s="57">
        <v>11.1</v>
      </c>
    </row>
    <row r="17" spans="1:8" ht="13.8">
      <c r="A17" s="16" t="s">
        <v>37</v>
      </c>
      <c r="B17" s="57">
        <v>13.3</v>
      </c>
      <c r="C17" s="57">
        <v>243</v>
      </c>
      <c r="D17" s="57">
        <v>32.9</v>
      </c>
      <c r="E17" s="57">
        <v>32.9</v>
      </c>
      <c r="F17" s="57">
        <v>24.3</v>
      </c>
      <c r="G17" s="57">
        <v>25.9</v>
      </c>
    </row>
    <row r="18" spans="1:8" ht="16.2">
      <c r="A18" s="16" t="s">
        <v>115</v>
      </c>
      <c r="B18" s="57">
        <v>14.2</v>
      </c>
      <c r="C18" s="57">
        <v>332</v>
      </c>
      <c r="D18" s="57">
        <v>27.2</v>
      </c>
      <c r="E18" s="57">
        <v>30</v>
      </c>
      <c r="F18" s="57">
        <v>27</v>
      </c>
      <c r="G18" s="131">
        <v>17.149999999999999</v>
      </c>
      <c r="H18" s="129"/>
    </row>
    <row r="19" spans="1:8" ht="16.2">
      <c r="A19" s="16" t="s">
        <v>189</v>
      </c>
      <c r="B19" s="57">
        <v>12.1</v>
      </c>
      <c r="C19" s="57">
        <v>279</v>
      </c>
      <c r="D19" s="57">
        <v>25.55</v>
      </c>
      <c r="E19" s="57">
        <v>25</v>
      </c>
      <c r="F19" s="57">
        <v>26.5</v>
      </c>
      <c r="G19" s="131">
        <v>12.5</v>
      </c>
      <c r="H19" s="129"/>
    </row>
    <row r="20" spans="1:8" ht="13.8">
      <c r="A20" s="16"/>
      <c r="B20" s="58"/>
      <c r="C20" s="59"/>
      <c r="D20" s="60"/>
      <c r="E20" s="60"/>
      <c r="F20" s="59"/>
      <c r="G20" s="61"/>
      <c r="H20" s="50"/>
    </row>
    <row r="21" spans="1:8" ht="13.8">
      <c r="A21" s="62" t="s">
        <v>37</v>
      </c>
      <c r="B21" s="57"/>
      <c r="C21" s="57"/>
      <c r="D21" s="57"/>
      <c r="E21" s="57"/>
      <c r="F21" s="57"/>
      <c r="G21" s="57"/>
    </row>
    <row r="22" spans="1:8" ht="13.8">
      <c r="A22" s="16" t="s">
        <v>38</v>
      </c>
      <c r="B22" s="57">
        <v>12.2</v>
      </c>
      <c r="C22" s="57">
        <v>235</v>
      </c>
      <c r="D22" s="57">
        <v>30.7</v>
      </c>
      <c r="E22" s="57">
        <v>28.7</v>
      </c>
      <c r="F22" s="57">
        <v>22.2</v>
      </c>
      <c r="G22" s="57">
        <v>19.8</v>
      </c>
    </row>
    <row r="23" spans="1:8" ht="13.8">
      <c r="A23" s="16" t="s">
        <v>39</v>
      </c>
      <c r="B23" s="57">
        <v>11.9</v>
      </c>
      <c r="C23" s="57">
        <v>244</v>
      </c>
      <c r="D23" s="57">
        <v>30.5</v>
      </c>
      <c r="E23" s="57">
        <v>29.6</v>
      </c>
      <c r="F23" s="57">
        <v>23.9</v>
      </c>
      <c r="G23" s="57">
        <v>26.2</v>
      </c>
    </row>
    <row r="24" spans="1:8" ht="13.8">
      <c r="A24" s="16" t="s">
        <v>40</v>
      </c>
      <c r="B24" s="57">
        <v>12.1</v>
      </c>
      <c r="C24" s="57">
        <v>244</v>
      </c>
      <c r="D24" s="57">
        <v>30.3</v>
      </c>
      <c r="E24" s="57">
        <v>31.7</v>
      </c>
      <c r="F24" s="57">
        <v>25.4</v>
      </c>
      <c r="G24" s="57">
        <v>26.1</v>
      </c>
    </row>
    <row r="25" spans="1:8" ht="13.8">
      <c r="A25" s="16" t="s">
        <v>42</v>
      </c>
      <c r="B25" s="57">
        <v>12.5</v>
      </c>
      <c r="C25" s="57">
        <v>239</v>
      </c>
      <c r="D25" s="57">
        <v>31.6</v>
      </c>
      <c r="E25" s="57">
        <v>32.5</v>
      </c>
      <c r="F25" s="57">
        <v>24.1</v>
      </c>
      <c r="G25" s="57">
        <v>31.3</v>
      </c>
    </row>
    <row r="26" spans="1:8" ht="13.8">
      <c r="A26" s="16" t="s">
        <v>43</v>
      </c>
      <c r="B26" s="57">
        <v>12.9</v>
      </c>
      <c r="C26" s="57">
        <v>241</v>
      </c>
      <c r="D26" s="57">
        <v>31</v>
      </c>
      <c r="E26" s="57">
        <v>33.700000000000003</v>
      </c>
      <c r="F26" s="57">
        <v>25.9</v>
      </c>
      <c r="G26" s="57">
        <v>31</v>
      </c>
    </row>
    <row r="27" spans="1:8" ht="13.8">
      <c r="A27" s="16" t="s">
        <v>44</v>
      </c>
      <c r="B27" s="57">
        <v>14.7</v>
      </c>
      <c r="C27" s="57">
        <v>256</v>
      </c>
      <c r="D27" s="57">
        <v>32.200000000000003</v>
      </c>
      <c r="E27" s="57">
        <v>37.5</v>
      </c>
      <c r="F27" s="57">
        <v>24.8</v>
      </c>
      <c r="G27" s="57">
        <v>27.5</v>
      </c>
    </row>
    <row r="28" spans="1:8" ht="13.8">
      <c r="A28" s="16" t="s">
        <v>46</v>
      </c>
      <c r="B28" s="57">
        <v>15.4</v>
      </c>
      <c r="C28" s="57" t="s">
        <v>75</v>
      </c>
      <c r="D28" s="57">
        <v>33.9</v>
      </c>
      <c r="E28" s="57">
        <v>39.200000000000003</v>
      </c>
      <c r="F28" s="57">
        <v>25</v>
      </c>
      <c r="G28" s="57">
        <v>28.9</v>
      </c>
    </row>
    <row r="29" spans="1:8" ht="13.8">
      <c r="A29" s="16" t="s">
        <v>47</v>
      </c>
      <c r="B29" s="57">
        <v>15.8</v>
      </c>
      <c r="C29" s="57" t="s">
        <v>75</v>
      </c>
      <c r="D29" s="57">
        <v>37.1</v>
      </c>
      <c r="E29" s="57">
        <v>41.3</v>
      </c>
      <c r="F29" s="57">
        <v>24.8</v>
      </c>
      <c r="G29" s="57">
        <v>30.2</v>
      </c>
    </row>
    <row r="30" spans="1:8" ht="13.8">
      <c r="A30" s="16" t="s">
        <v>48</v>
      </c>
      <c r="B30" s="57">
        <v>16.100000000000001</v>
      </c>
      <c r="C30" s="57" t="s">
        <v>75</v>
      </c>
      <c r="D30" s="57">
        <v>40.1</v>
      </c>
      <c r="E30" s="57">
        <v>42.9</v>
      </c>
      <c r="F30" s="57">
        <v>25.3</v>
      </c>
      <c r="G30" s="57">
        <v>29.7</v>
      </c>
    </row>
    <row r="31" spans="1:8" ht="13.8">
      <c r="A31" s="16" t="s">
        <v>50</v>
      </c>
      <c r="B31" s="57">
        <v>16.399999999999999</v>
      </c>
      <c r="C31" s="57" t="s">
        <v>75</v>
      </c>
      <c r="D31" s="57">
        <v>40.200000000000003</v>
      </c>
      <c r="E31" s="57">
        <v>45.6</v>
      </c>
      <c r="F31" s="57">
        <v>25.2</v>
      </c>
      <c r="G31" s="57">
        <v>23.9</v>
      </c>
    </row>
    <row r="32" spans="1:8" ht="13.8">
      <c r="A32" s="16" t="s">
        <v>51</v>
      </c>
      <c r="B32" s="57">
        <v>15.5</v>
      </c>
      <c r="C32" s="57">
        <v>360</v>
      </c>
      <c r="D32" s="57">
        <v>36.200000000000003</v>
      </c>
      <c r="E32" s="57">
        <v>42.7</v>
      </c>
      <c r="F32" s="57">
        <v>25.3</v>
      </c>
      <c r="G32" s="57">
        <v>24.2</v>
      </c>
    </row>
    <row r="33" spans="1:7" ht="13.8">
      <c r="A33" s="16" t="s">
        <v>52</v>
      </c>
      <c r="B33" s="57">
        <f>15.3</f>
        <v>15.3</v>
      </c>
      <c r="C33" s="57">
        <f>343</f>
        <v>343</v>
      </c>
      <c r="D33" s="57">
        <f>37.8</f>
        <v>37.799999999999997</v>
      </c>
      <c r="E33" s="57">
        <f>40</f>
        <v>40</v>
      </c>
      <c r="F33" s="57">
        <f>25</f>
        <v>25</v>
      </c>
      <c r="G33" s="57">
        <f>20.8</f>
        <v>20.8</v>
      </c>
    </row>
    <row r="34" spans="1:7" ht="13.8">
      <c r="A34" s="16"/>
      <c r="B34" s="57"/>
      <c r="C34" s="57"/>
      <c r="D34" s="57"/>
      <c r="E34" s="57"/>
      <c r="F34" s="57"/>
      <c r="G34" s="57"/>
    </row>
    <row r="35" spans="1:7" ht="13.8">
      <c r="A35" s="62" t="s">
        <v>54</v>
      </c>
      <c r="B35" s="57"/>
      <c r="C35" s="57"/>
      <c r="D35" s="57"/>
      <c r="E35" s="57"/>
      <c r="F35" s="57"/>
      <c r="G35" s="57"/>
    </row>
    <row r="36" spans="1:7" ht="13.8">
      <c r="A36" s="16" t="s">
        <v>38</v>
      </c>
      <c r="B36" s="57">
        <v>14.1</v>
      </c>
      <c r="C36" s="57">
        <v>361</v>
      </c>
      <c r="D36" s="57">
        <v>32.9</v>
      </c>
      <c r="E36" s="57">
        <v>28.1</v>
      </c>
      <c r="F36" s="57">
        <v>25.7</v>
      </c>
      <c r="G36" s="57">
        <v>18.899999999999999</v>
      </c>
    </row>
    <row r="37" spans="1:7" ht="13.8">
      <c r="A37" s="16" t="s">
        <v>39</v>
      </c>
      <c r="B37" s="57">
        <v>13.5</v>
      </c>
      <c r="C37" s="57">
        <v>338</v>
      </c>
      <c r="D37" s="57">
        <v>29.3</v>
      </c>
      <c r="E37" s="57">
        <v>28.1</v>
      </c>
      <c r="F37" s="57">
        <v>26.6</v>
      </c>
      <c r="G37" s="57">
        <v>18.600000000000001</v>
      </c>
    </row>
    <row r="38" spans="1:7" ht="13.8">
      <c r="A38" s="16" t="s">
        <v>40</v>
      </c>
      <c r="B38" s="57">
        <v>14</v>
      </c>
      <c r="C38" s="57">
        <v>323</v>
      </c>
      <c r="D38" s="57">
        <v>28.4</v>
      </c>
      <c r="E38" s="57">
        <v>29.2</v>
      </c>
      <c r="F38" s="57">
        <v>29.9</v>
      </c>
      <c r="G38" s="57">
        <v>19.5</v>
      </c>
    </row>
    <row r="39" spans="1:7" ht="13.8">
      <c r="A39" s="16" t="s">
        <v>42</v>
      </c>
      <c r="B39" s="57">
        <v>14.4</v>
      </c>
      <c r="C39" s="57">
        <v>329</v>
      </c>
      <c r="D39" s="57">
        <v>29.5</v>
      </c>
      <c r="E39" s="57">
        <v>29.2</v>
      </c>
      <c r="F39" s="57">
        <v>24.1</v>
      </c>
      <c r="G39" s="57">
        <v>18.399999999999999</v>
      </c>
    </row>
    <row r="40" spans="1:7" ht="13.8">
      <c r="A40" s="16" t="s">
        <v>43</v>
      </c>
      <c r="B40" s="57">
        <v>14.5</v>
      </c>
      <c r="C40" s="57">
        <v>316</v>
      </c>
      <c r="D40" s="57">
        <v>28.5</v>
      </c>
      <c r="E40" s="57">
        <v>30.1</v>
      </c>
      <c r="F40" s="57">
        <v>27.9</v>
      </c>
      <c r="G40" s="57">
        <v>17.7</v>
      </c>
    </row>
    <row r="41" spans="1:7" ht="13.8">
      <c r="A41" s="16" t="s">
        <v>44</v>
      </c>
      <c r="B41" s="57">
        <v>15.1</v>
      </c>
      <c r="C41" s="57">
        <v>332</v>
      </c>
      <c r="D41" s="57">
        <v>30.8</v>
      </c>
      <c r="E41" s="57">
        <v>30.7</v>
      </c>
      <c r="F41" s="57">
        <v>27.2</v>
      </c>
      <c r="G41" s="57">
        <v>16.2</v>
      </c>
    </row>
    <row r="42" spans="1:7" ht="13.8">
      <c r="A42" s="15" t="s">
        <v>46</v>
      </c>
      <c r="B42" s="14">
        <v>14.9</v>
      </c>
      <c r="C42" s="14" t="s">
        <v>75</v>
      </c>
      <c r="D42" s="14">
        <v>26.9</v>
      </c>
      <c r="E42" s="14">
        <v>30.9</v>
      </c>
      <c r="F42" s="14">
        <v>26.9</v>
      </c>
      <c r="G42" s="14">
        <v>14.8</v>
      </c>
    </row>
    <row r="43" spans="1:7" ht="16.2">
      <c r="A43" s="16" t="s">
        <v>116</v>
      </c>
      <c r="B43" s="16"/>
      <c r="C43" s="16"/>
      <c r="D43" s="16"/>
      <c r="E43" s="16"/>
      <c r="F43" s="16"/>
      <c r="G43" s="16"/>
    </row>
    <row r="44" spans="1:7" ht="14.4">
      <c r="A44" s="16" t="s">
        <v>117</v>
      </c>
      <c r="B44" s="16"/>
      <c r="C44" s="16"/>
      <c r="D44" s="16"/>
      <c r="E44" s="16"/>
      <c r="F44" s="16"/>
      <c r="G44" s="16"/>
    </row>
    <row r="45" spans="1:7" ht="13.8">
      <c r="A45" s="21" t="s">
        <v>56</v>
      </c>
      <c r="B45" s="43">
        <f>Contents!A16</f>
        <v>45062</v>
      </c>
      <c r="C45" s="16"/>
      <c r="D45" s="16"/>
      <c r="E45" s="16"/>
      <c r="F45" s="16"/>
      <c r="G45" s="16"/>
    </row>
  </sheetData>
  <phoneticPr fontId="28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6"/>
  <sheetViews>
    <sheetView showGridLines="0" zoomScale="70" zoomScaleNormal="70" workbookViewId="0"/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</cols>
  <sheetData>
    <row r="1" spans="1:12" ht="13.8">
      <c r="A1" s="15" t="s">
        <v>9</v>
      </c>
      <c r="B1" s="15"/>
      <c r="C1" s="15"/>
      <c r="D1" s="15"/>
      <c r="E1" s="15"/>
      <c r="F1" s="15"/>
      <c r="G1" s="15"/>
      <c r="H1" s="15"/>
      <c r="I1" s="16"/>
    </row>
    <row r="2" spans="1:12" ht="15.6" customHeight="1">
      <c r="A2" s="63" t="s">
        <v>93</v>
      </c>
      <c r="B2" s="18" t="s">
        <v>118</v>
      </c>
      <c r="C2" s="18" t="s">
        <v>119</v>
      </c>
      <c r="D2" s="18" t="s">
        <v>120</v>
      </c>
      <c r="E2" s="64" t="s">
        <v>121</v>
      </c>
      <c r="F2" s="64" t="s">
        <v>122</v>
      </c>
      <c r="G2" s="18" t="s">
        <v>123</v>
      </c>
      <c r="H2" s="18" t="s">
        <v>124</v>
      </c>
      <c r="I2" s="65" t="s">
        <v>125</v>
      </c>
    </row>
    <row r="3" spans="1:12" ht="15.6" customHeight="1">
      <c r="A3" s="66" t="s">
        <v>100</v>
      </c>
      <c r="B3" s="24" t="s">
        <v>126</v>
      </c>
      <c r="C3" s="24" t="s">
        <v>127</v>
      </c>
      <c r="D3" s="24" t="s">
        <v>128</v>
      </c>
      <c r="E3" s="24" t="s">
        <v>128</v>
      </c>
      <c r="F3" s="24" t="s">
        <v>129</v>
      </c>
      <c r="G3" s="24" t="s">
        <v>130</v>
      </c>
      <c r="H3" s="24"/>
      <c r="I3" s="24" t="s">
        <v>131</v>
      </c>
    </row>
    <row r="4" spans="1:12" ht="14.4">
      <c r="A4" s="67" t="s">
        <v>132</v>
      </c>
      <c r="C4" s="68"/>
      <c r="D4" s="68"/>
      <c r="E4" s="68"/>
      <c r="F4" s="68"/>
      <c r="G4" s="68"/>
      <c r="H4" s="68"/>
      <c r="I4" s="68"/>
    </row>
    <row r="5" spans="1:12" ht="13.8">
      <c r="A5" s="16"/>
      <c r="B5" s="16"/>
      <c r="C5" s="16"/>
      <c r="D5" s="16"/>
      <c r="E5" s="16"/>
      <c r="F5" s="16"/>
      <c r="G5" s="16"/>
      <c r="H5" s="16"/>
      <c r="I5" s="16"/>
    </row>
    <row r="6" spans="1:12" ht="13.8">
      <c r="A6" s="16" t="s">
        <v>105</v>
      </c>
      <c r="B6" s="57">
        <v>53.2</v>
      </c>
      <c r="C6" s="57">
        <v>54.5</v>
      </c>
      <c r="D6" s="57">
        <v>86.12</v>
      </c>
      <c r="E6" s="57">
        <v>58.68</v>
      </c>
      <c r="F6" s="57">
        <v>77.239999999999995</v>
      </c>
      <c r="G6" s="57">
        <v>60.76</v>
      </c>
      <c r="H6" s="57">
        <v>51.52</v>
      </c>
      <c r="I6" s="57">
        <v>51.34</v>
      </c>
      <c r="K6" s="73"/>
      <c r="L6" s="73"/>
    </row>
    <row r="7" spans="1:12" ht="13.8">
      <c r="A7" s="16" t="s">
        <v>106</v>
      </c>
      <c r="B7" s="57">
        <v>51.9</v>
      </c>
      <c r="C7" s="57">
        <v>53.22</v>
      </c>
      <c r="D7" s="57">
        <v>83.2</v>
      </c>
      <c r="E7" s="57">
        <v>57.19</v>
      </c>
      <c r="F7" s="57">
        <v>100.15</v>
      </c>
      <c r="G7" s="57">
        <v>56.09</v>
      </c>
      <c r="H7" s="57">
        <v>48.11</v>
      </c>
      <c r="I7" s="57">
        <v>50.33</v>
      </c>
      <c r="K7" s="73"/>
      <c r="L7" s="73"/>
    </row>
    <row r="8" spans="1:12" ht="13.8">
      <c r="A8" s="16" t="s">
        <v>107</v>
      </c>
      <c r="B8" s="57">
        <v>47.13</v>
      </c>
      <c r="C8" s="57">
        <v>48.6</v>
      </c>
      <c r="D8" s="57">
        <v>65.87</v>
      </c>
      <c r="E8" s="57">
        <v>56.17</v>
      </c>
      <c r="F8" s="57">
        <v>91.83</v>
      </c>
      <c r="G8" s="57">
        <v>46.66</v>
      </c>
      <c r="H8" s="57">
        <v>51.8</v>
      </c>
      <c r="I8" s="57">
        <v>43.24</v>
      </c>
      <c r="K8" s="73"/>
      <c r="L8" s="73"/>
    </row>
    <row r="9" spans="1:12" ht="13.8">
      <c r="A9" s="16" t="s">
        <v>108</v>
      </c>
      <c r="B9" s="57">
        <v>38.229999999999997</v>
      </c>
      <c r="C9" s="57">
        <v>60.66</v>
      </c>
      <c r="D9" s="57">
        <v>59.12</v>
      </c>
      <c r="E9" s="57">
        <v>43.7</v>
      </c>
      <c r="F9" s="57">
        <v>68.23</v>
      </c>
      <c r="G9" s="57">
        <v>39.43</v>
      </c>
      <c r="H9" s="57">
        <v>43.93</v>
      </c>
      <c r="I9" s="57">
        <v>39.76</v>
      </c>
      <c r="K9" s="73"/>
      <c r="L9" s="73"/>
    </row>
    <row r="10" spans="1:12" ht="13.8">
      <c r="A10" s="16" t="s">
        <v>109</v>
      </c>
      <c r="B10" s="57">
        <v>31.6</v>
      </c>
      <c r="C10" s="57">
        <v>45.74</v>
      </c>
      <c r="D10" s="57">
        <v>66.72</v>
      </c>
      <c r="E10" s="57">
        <v>37.81</v>
      </c>
      <c r="F10" s="57">
        <v>57.96</v>
      </c>
      <c r="G10" s="57">
        <v>37.479999999999997</v>
      </c>
      <c r="H10" s="57">
        <v>33.43</v>
      </c>
      <c r="I10" s="57">
        <v>31.36</v>
      </c>
      <c r="K10" s="73"/>
      <c r="L10" s="73"/>
    </row>
    <row r="11" spans="1:12" ht="13.8">
      <c r="A11" s="16" t="s">
        <v>110</v>
      </c>
      <c r="B11" s="57">
        <v>29.86</v>
      </c>
      <c r="C11" s="57">
        <v>45.87</v>
      </c>
      <c r="D11" s="57">
        <v>57.81</v>
      </c>
      <c r="E11" s="57">
        <v>35.270000000000003</v>
      </c>
      <c r="F11" s="57">
        <v>58.26</v>
      </c>
      <c r="G11" s="57">
        <v>39.25</v>
      </c>
      <c r="H11" s="57">
        <v>32.229999999999997</v>
      </c>
      <c r="I11" s="57">
        <v>30.07</v>
      </c>
      <c r="K11" s="73"/>
      <c r="L11" s="73"/>
    </row>
    <row r="12" spans="1:12" ht="13.8">
      <c r="A12" s="16" t="s">
        <v>111</v>
      </c>
      <c r="B12" s="57">
        <v>32.549999999999997</v>
      </c>
      <c r="C12" s="57">
        <v>40.92</v>
      </c>
      <c r="D12" s="57">
        <v>53.54</v>
      </c>
      <c r="E12" s="57">
        <v>38.729999999999997</v>
      </c>
      <c r="F12" s="57">
        <v>66.73</v>
      </c>
      <c r="G12" s="57">
        <v>37.43</v>
      </c>
      <c r="H12" s="57">
        <v>33.07</v>
      </c>
      <c r="I12" s="57">
        <v>34.75</v>
      </c>
      <c r="K12" s="73"/>
      <c r="L12" s="73"/>
    </row>
    <row r="13" spans="1:12" ht="13.8">
      <c r="A13" s="16" t="s">
        <v>112</v>
      </c>
      <c r="B13" s="57">
        <v>30.04</v>
      </c>
      <c r="C13" s="57">
        <v>31.87</v>
      </c>
      <c r="D13" s="57">
        <v>54.57</v>
      </c>
      <c r="E13" s="57">
        <v>38.270000000000003</v>
      </c>
      <c r="F13" s="57">
        <v>66.72</v>
      </c>
      <c r="G13" s="57">
        <v>30.35</v>
      </c>
      <c r="H13" s="57">
        <v>34.159999999999997</v>
      </c>
      <c r="I13" s="57">
        <v>31.21</v>
      </c>
      <c r="K13" s="73"/>
      <c r="L13" s="73"/>
    </row>
    <row r="14" spans="1:12" ht="13.8">
      <c r="A14" s="16" t="s">
        <v>113</v>
      </c>
      <c r="B14" s="57">
        <v>28.26</v>
      </c>
      <c r="C14" s="57">
        <v>35.14</v>
      </c>
      <c r="D14" s="57">
        <v>53.28</v>
      </c>
      <c r="E14" s="57">
        <v>36.090000000000003</v>
      </c>
      <c r="F14" s="57">
        <v>64.72</v>
      </c>
      <c r="G14" s="57">
        <v>26.93</v>
      </c>
      <c r="H14" s="57">
        <v>31.65</v>
      </c>
      <c r="I14" s="57">
        <v>33.11</v>
      </c>
      <c r="K14" s="73"/>
      <c r="L14" s="73"/>
    </row>
    <row r="15" spans="1:12" ht="13.8">
      <c r="A15" s="16" t="s">
        <v>114</v>
      </c>
      <c r="B15" s="57">
        <v>29.65</v>
      </c>
      <c r="C15" s="57">
        <v>40.18</v>
      </c>
      <c r="D15" s="57">
        <v>65.03</v>
      </c>
      <c r="E15" s="57">
        <v>37.869999999999997</v>
      </c>
      <c r="F15" s="57">
        <v>62</v>
      </c>
      <c r="G15" s="57">
        <v>39.47</v>
      </c>
      <c r="H15" s="57">
        <v>35.75</v>
      </c>
      <c r="I15" s="57">
        <v>38.369999999999997</v>
      </c>
      <c r="K15" s="73"/>
      <c r="L15" s="73"/>
    </row>
    <row r="16" spans="1:12" ht="13.8">
      <c r="A16" s="16" t="s">
        <v>34</v>
      </c>
      <c r="B16" s="57">
        <v>56.87</v>
      </c>
      <c r="C16" s="57">
        <v>80.94</v>
      </c>
      <c r="D16" s="57">
        <v>79</v>
      </c>
      <c r="E16" s="57">
        <v>70.459999999999994</v>
      </c>
      <c r="F16" s="57">
        <v>101.4</v>
      </c>
      <c r="G16" s="57">
        <v>53.88</v>
      </c>
      <c r="H16" s="57">
        <v>55.89</v>
      </c>
      <c r="I16" s="57">
        <v>54.98</v>
      </c>
      <c r="K16" s="73"/>
      <c r="L16" s="73"/>
    </row>
    <row r="17" spans="1:12" ht="13.8">
      <c r="A17" s="16" t="s">
        <v>37</v>
      </c>
      <c r="B17" s="57">
        <v>72.98</v>
      </c>
      <c r="C17" s="57">
        <v>107.15</v>
      </c>
      <c r="D17" s="57">
        <v>111.39</v>
      </c>
      <c r="E17" s="57">
        <v>90.52</v>
      </c>
      <c r="F17" s="57">
        <v>106.98</v>
      </c>
      <c r="G17" s="57">
        <v>64.28</v>
      </c>
      <c r="H17" s="57">
        <v>82</v>
      </c>
      <c r="I17" s="57">
        <v>81.84</v>
      </c>
      <c r="J17" s="106"/>
      <c r="K17" s="73"/>
      <c r="L17" s="73"/>
    </row>
    <row r="18" spans="1:12" ht="16.2">
      <c r="A18" s="16" t="s">
        <v>133</v>
      </c>
      <c r="B18" s="57">
        <v>64</v>
      </c>
      <c r="C18" s="57">
        <v>99.2</v>
      </c>
      <c r="D18" s="57">
        <v>80</v>
      </c>
      <c r="E18" s="57">
        <v>68</v>
      </c>
      <c r="F18" s="57">
        <v>99</v>
      </c>
      <c r="G18" s="57">
        <v>60</v>
      </c>
      <c r="H18" s="57">
        <v>82</v>
      </c>
      <c r="I18" s="57">
        <v>77</v>
      </c>
      <c r="J18" s="106"/>
      <c r="K18" s="73"/>
      <c r="L18" s="73"/>
    </row>
    <row r="19" spans="1:12" ht="16.2">
      <c r="A19" s="16" t="s">
        <v>190</v>
      </c>
      <c r="B19" s="57">
        <v>58</v>
      </c>
      <c r="C19" s="57">
        <v>75</v>
      </c>
      <c r="D19" s="57">
        <v>80</v>
      </c>
      <c r="E19" s="57">
        <v>61</v>
      </c>
      <c r="F19" s="57">
        <v>93</v>
      </c>
      <c r="G19" s="57">
        <v>58</v>
      </c>
      <c r="H19" s="57">
        <v>80</v>
      </c>
      <c r="I19" s="57">
        <v>75</v>
      </c>
      <c r="J19" s="106"/>
      <c r="K19" s="73"/>
      <c r="L19" s="73"/>
    </row>
    <row r="20" spans="1:12" ht="13.8">
      <c r="A20" s="16"/>
      <c r="B20" s="69"/>
      <c r="C20" s="69"/>
      <c r="D20" s="69"/>
      <c r="E20" s="69"/>
      <c r="F20" s="69"/>
      <c r="G20" s="69"/>
      <c r="H20" s="69"/>
      <c r="I20" s="69"/>
    </row>
    <row r="21" spans="1:12" ht="13.8">
      <c r="A21" s="36" t="s">
        <v>37</v>
      </c>
      <c r="B21" s="57"/>
      <c r="C21" s="57"/>
      <c r="D21" s="57"/>
      <c r="E21" s="57"/>
      <c r="F21" s="57"/>
      <c r="G21" s="57"/>
      <c r="H21" s="57"/>
      <c r="I21" s="57"/>
      <c r="L21" s="106"/>
    </row>
    <row r="22" spans="1:12" ht="13.8">
      <c r="A22" s="16" t="s">
        <v>39</v>
      </c>
      <c r="B22" s="57">
        <v>70.42</v>
      </c>
      <c r="C22" s="57">
        <v>98.5</v>
      </c>
      <c r="D22" s="57">
        <v>129</v>
      </c>
      <c r="E22" s="57">
        <v>82.3</v>
      </c>
      <c r="F22" s="57">
        <v>101.5</v>
      </c>
      <c r="G22" s="57">
        <v>57.069999999999993</v>
      </c>
      <c r="H22" s="57" t="s">
        <v>75</v>
      </c>
      <c r="I22" s="57" t="s">
        <v>75</v>
      </c>
      <c r="K22" s="109"/>
      <c r="L22" s="108"/>
    </row>
    <row r="23" spans="1:12" ht="13.8">
      <c r="A23" s="16" t="s">
        <v>40</v>
      </c>
      <c r="B23" s="57">
        <v>66.459999999999994</v>
      </c>
      <c r="C23" s="57">
        <v>96.75</v>
      </c>
      <c r="D23" s="57">
        <v>125</v>
      </c>
      <c r="E23" s="57">
        <v>84.375</v>
      </c>
      <c r="F23" s="57">
        <v>100</v>
      </c>
      <c r="G23" s="57">
        <v>57.918000000000006</v>
      </c>
      <c r="H23" s="57" t="s">
        <v>75</v>
      </c>
      <c r="I23" s="57">
        <v>80.06</v>
      </c>
      <c r="K23" s="109"/>
      <c r="L23" s="109"/>
    </row>
    <row r="24" spans="1:12" ht="13.8">
      <c r="A24" s="16" t="s">
        <v>42</v>
      </c>
      <c r="B24" s="57">
        <v>63.69</v>
      </c>
      <c r="C24" s="57">
        <v>93.3</v>
      </c>
      <c r="D24" s="57">
        <v>125</v>
      </c>
      <c r="E24" s="57">
        <v>82.95</v>
      </c>
      <c r="F24" s="57">
        <v>100</v>
      </c>
      <c r="G24" s="57">
        <v>56.093333333333334</v>
      </c>
      <c r="H24" s="57" t="s">
        <v>75</v>
      </c>
      <c r="I24" s="57">
        <v>73</v>
      </c>
      <c r="K24" s="109"/>
      <c r="L24" s="109"/>
    </row>
    <row r="25" spans="1:12" ht="13.8">
      <c r="A25" s="16" t="s">
        <v>43</v>
      </c>
      <c r="B25" s="57">
        <v>65.7</v>
      </c>
      <c r="C25" s="57">
        <v>97.9375</v>
      </c>
      <c r="D25" s="57">
        <v>123.125</v>
      </c>
      <c r="E25" s="57">
        <v>88.5625</v>
      </c>
      <c r="F25" s="57">
        <v>103.125</v>
      </c>
      <c r="G25" s="57">
        <v>54.09</v>
      </c>
      <c r="H25" s="57" t="s">
        <v>75</v>
      </c>
      <c r="I25" s="57">
        <v>76.5</v>
      </c>
      <c r="K25" s="109"/>
    </row>
    <row r="26" spans="1:12" ht="13.8">
      <c r="A26" s="16" t="s">
        <v>44</v>
      </c>
      <c r="B26" s="57">
        <v>70.91</v>
      </c>
      <c r="C26" s="57">
        <v>101.375</v>
      </c>
      <c r="D26" s="57">
        <v>115.33333333333333</v>
      </c>
      <c r="E26" s="57">
        <v>85.875</v>
      </c>
      <c r="F26" s="57">
        <v>105</v>
      </c>
      <c r="G26" s="57">
        <v>59.29</v>
      </c>
      <c r="H26" s="57">
        <v>82</v>
      </c>
      <c r="I26" s="57">
        <v>80</v>
      </c>
    </row>
    <row r="27" spans="1:12" ht="13.8">
      <c r="A27" s="16" t="s">
        <v>46</v>
      </c>
      <c r="B27" s="57">
        <v>76.405000000000001</v>
      </c>
      <c r="C27" s="57">
        <v>114.875</v>
      </c>
      <c r="D27" s="57">
        <v>129</v>
      </c>
      <c r="E27" s="57">
        <v>92</v>
      </c>
      <c r="F27" s="57">
        <v>107.5</v>
      </c>
      <c r="G27" s="57">
        <v>67.1875</v>
      </c>
      <c r="H27" s="57" t="s">
        <v>75</v>
      </c>
      <c r="I27" s="57">
        <v>81.5</v>
      </c>
    </row>
    <row r="28" spans="1:12" ht="13.8">
      <c r="A28" s="16" t="s">
        <v>47</v>
      </c>
      <c r="B28" s="57">
        <v>83.846000000000004</v>
      </c>
      <c r="C28" s="57">
        <v>120.05</v>
      </c>
      <c r="D28" s="57">
        <v>120.4</v>
      </c>
      <c r="E28" s="57">
        <v>103.15</v>
      </c>
      <c r="F28" s="57">
        <v>115</v>
      </c>
      <c r="G28" s="57">
        <v>71.55</v>
      </c>
      <c r="H28" s="57" t="s">
        <v>75</v>
      </c>
      <c r="I28" s="57">
        <v>83.125</v>
      </c>
    </row>
    <row r="29" spans="1:12" ht="13.8">
      <c r="A29" s="16" t="s">
        <v>48</v>
      </c>
      <c r="B29" s="57">
        <v>87.385000000000005</v>
      </c>
      <c r="C29" s="57">
        <v>119.5625</v>
      </c>
      <c r="D29" s="57">
        <v>113.5</v>
      </c>
      <c r="E29" s="57">
        <v>108.6875</v>
      </c>
      <c r="F29" s="57">
        <v>116.25</v>
      </c>
      <c r="G29" s="57">
        <v>77.802499999999995</v>
      </c>
      <c r="H29" s="57" t="s">
        <v>75</v>
      </c>
      <c r="I29" s="57">
        <v>84.25</v>
      </c>
    </row>
    <row r="30" spans="1:12" ht="13.8">
      <c r="A30" s="16" t="s">
        <v>50</v>
      </c>
      <c r="B30" s="57">
        <v>80.297499999999999</v>
      </c>
      <c r="C30" s="57">
        <v>115.75</v>
      </c>
      <c r="D30" s="57">
        <v>97.75</v>
      </c>
      <c r="E30" s="57">
        <v>102.25</v>
      </c>
      <c r="F30" s="57">
        <v>116.25</v>
      </c>
      <c r="G30" s="57">
        <v>76.375</v>
      </c>
      <c r="H30" s="57" t="s">
        <v>75</v>
      </c>
      <c r="I30" s="57">
        <v>86.5</v>
      </c>
    </row>
    <row r="31" spans="1:12" ht="13.8">
      <c r="A31" s="16" t="s">
        <v>51</v>
      </c>
      <c r="B31" s="57">
        <v>67.74799999999999</v>
      </c>
      <c r="C31" s="57">
        <v>100.8</v>
      </c>
      <c r="D31" s="57">
        <v>78.2</v>
      </c>
      <c r="E31" s="57">
        <v>87.9</v>
      </c>
      <c r="F31" s="57">
        <v>103.2</v>
      </c>
      <c r="G31" s="57">
        <v>62.25</v>
      </c>
      <c r="H31" s="57" t="s">
        <v>75</v>
      </c>
      <c r="I31" s="57">
        <v>81.5</v>
      </c>
    </row>
    <row r="32" spans="1:12" ht="13.8">
      <c r="A32" s="16" t="s">
        <v>52</v>
      </c>
      <c r="B32" s="57">
        <v>72.334999999999994</v>
      </c>
      <c r="C32" s="57">
        <v>113.75</v>
      </c>
      <c r="D32" s="57">
        <v>92</v>
      </c>
      <c r="E32" s="57">
        <v>91.3125</v>
      </c>
      <c r="F32" s="57">
        <v>107.25</v>
      </c>
      <c r="G32" s="57">
        <v>65.4375</v>
      </c>
      <c r="H32" s="57" t="s">
        <v>75</v>
      </c>
      <c r="I32" s="57" t="s">
        <v>75</v>
      </c>
    </row>
    <row r="33" spans="1:12" ht="13.8">
      <c r="A33" s="16" t="s">
        <v>38</v>
      </c>
      <c r="B33" s="57">
        <v>70.626000000000005</v>
      </c>
      <c r="C33" s="57">
        <v>113.2</v>
      </c>
      <c r="D33" s="57">
        <v>88.4</v>
      </c>
      <c r="E33" s="57">
        <v>76.849999999999994</v>
      </c>
      <c r="F33" s="57">
        <v>111.6</v>
      </c>
      <c r="G33" s="57">
        <v>66.263999999999996</v>
      </c>
      <c r="H33" s="57" t="s">
        <v>75</v>
      </c>
      <c r="I33" s="57">
        <v>92</v>
      </c>
      <c r="K33" s="73"/>
      <c r="L33" s="73"/>
    </row>
    <row r="34" spans="1:12" ht="13.8">
      <c r="A34" s="16"/>
      <c r="B34" s="57"/>
      <c r="C34" s="57"/>
      <c r="D34" s="57"/>
      <c r="E34" s="57"/>
      <c r="F34" s="57"/>
      <c r="G34" s="57"/>
      <c r="H34" s="57"/>
      <c r="I34" s="57"/>
      <c r="K34" s="73"/>
      <c r="L34" s="73"/>
    </row>
    <row r="35" spans="1:12" ht="13.8">
      <c r="A35" s="36" t="s">
        <v>54</v>
      </c>
      <c r="B35" s="57"/>
      <c r="C35" s="57"/>
      <c r="D35" s="57"/>
      <c r="E35" s="57"/>
      <c r="F35" s="57"/>
      <c r="G35" s="57"/>
      <c r="H35" s="57"/>
      <c r="I35" s="57"/>
      <c r="K35" s="73"/>
      <c r="L35" s="73"/>
    </row>
    <row r="36" spans="1:12" ht="13.8">
      <c r="A36" s="16" t="s">
        <v>39</v>
      </c>
      <c r="B36" s="57">
        <v>72.67</v>
      </c>
      <c r="C36" s="57">
        <v>110.1875</v>
      </c>
      <c r="D36" s="57">
        <v>93.75</v>
      </c>
      <c r="E36" s="57">
        <v>80.125</v>
      </c>
      <c r="F36" s="57">
        <v>107.75</v>
      </c>
      <c r="G36" s="57">
        <v>65.412499999999994</v>
      </c>
      <c r="H36" s="57">
        <v>88</v>
      </c>
      <c r="I36" s="57">
        <v>88.5</v>
      </c>
      <c r="K36" s="73"/>
      <c r="L36" s="73"/>
    </row>
    <row r="37" spans="1:12" ht="13.8">
      <c r="A37" s="16" t="s">
        <v>40</v>
      </c>
      <c r="B37" s="57">
        <v>79.180000000000007</v>
      </c>
      <c r="C37" s="57">
        <v>116.6875</v>
      </c>
      <c r="D37" s="57">
        <v>106</v>
      </c>
      <c r="E37" s="57">
        <v>84.375</v>
      </c>
      <c r="F37" s="57">
        <v>111</v>
      </c>
      <c r="G37" s="57">
        <v>69.67</v>
      </c>
      <c r="H37" s="57" t="s">
        <v>75</v>
      </c>
      <c r="I37" s="57">
        <v>88.5</v>
      </c>
      <c r="K37" s="73"/>
      <c r="L37" s="73"/>
    </row>
    <row r="38" spans="1:12" ht="13.8">
      <c r="A38" s="16" t="s">
        <v>42</v>
      </c>
      <c r="B38" s="57">
        <v>68.14</v>
      </c>
      <c r="C38" s="57">
        <v>105.1</v>
      </c>
      <c r="D38" s="57">
        <v>92.3</v>
      </c>
      <c r="E38" s="57">
        <v>74.05</v>
      </c>
      <c r="F38" s="57">
        <v>101</v>
      </c>
      <c r="G38" s="57">
        <v>60</v>
      </c>
      <c r="H38" s="57" t="s">
        <v>75</v>
      </c>
      <c r="I38" s="57">
        <v>84</v>
      </c>
      <c r="K38" s="73"/>
      <c r="L38" s="73"/>
    </row>
    <row r="39" spans="1:12" ht="13.8">
      <c r="A39" s="16" t="s">
        <v>43</v>
      </c>
      <c r="B39" s="57">
        <v>66</v>
      </c>
      <c r="C39" s="57">
        <v>102.1875</v>
      </c>
      <c r="D39" s="57">
        <v>85.75</v>
      </c>
      <c r="E39" s="57">
        <v>71.1875</v>
      </c>
      <c r="F39" s="57">
        <v>95.375</v>
      </c>
      <c r="G39" s="57">
        <v>61</v>
      </c>
      <c r="H39" s="57">
        <v>87</v>
      </c>
      <c r="I39" s="57">
        <v>76.125</v>
      </c>
      <c r="K39" s="73"/>
      <c r="L39" s="73"/>
    </row>
    <row r="40" spans="1:12" ht="13.8">
      <c r="A40" s="16" t="s">
        <v>44</v>
      </c>
      <c r="B40" s="57">
        <v>63.242500000000007</v>
      </c>
      <c r="C40" s="57">
        <v>100</v>
      </c>
      <c r="D40" s="57">
        <v>81.25</v>
      </c>
      <c r="E40" s="57">
        <v>68.25</v>
      </c>
      <c r="F40" s="57">
        <v>88</v>
      </c>
      <c r="G40" s="57" t="s">
        <v>75</v>
      </c>
      <c r="H40" s="57" t="s">
        <v>75</v>
      </c>
      <c r="I40" s="57">
        <v>63.95</v>
      </c>
      <c r="K40" s="73"/>
      <c r="L40" s="73"/>
    </row>
    <row r="41" spans="1:12" ht="13.8">
      <c r="A41" s="16" t="s">
        <v>46</v>
      </c>
      <c r="B41" s="57">
        <v>58.83</v>
      </c>
      <c r="C41" s="57">
        <v>96.55</v>
      </c>
      <c r="D41" s="57">
        <v>76.599999999999994</v>
      </c>
      <c r="E41" s="57">
        <v>64.599999999999994</v>
      </c>
      <c r="F41" s="57">
        <v>84.4</v>
      </c>
      <c r="G41" s="57" t="s">
        <v>75</v>
      </c>
      <c r="H41" s="57" t="s">
        <v>75</v>
      </c>
      <c r="I41" s="57">
        <v>66.25</v>
      </c>
      <c r="K41" s="73"/>
      <c r="L41" s="73"/>
    </row>
    <row r="42" spans="1:12" ht="13.8">
      <c r="A42" s="15" t="s">
        <v>47</v>
      </c>
      <c r="B42" s="14">
        <v>55.474999999999994</v>
      </c>
      <c r="C42" s="14">
        <v>92.5625</v>
      </c>
      <c r="D42" s="14">
        <v>73</v>
      </c>
      <c r="E42" s="14">
        <v>62.625</v>
      </c>
      <c r="F42" s="14">
        <v>81.75</v>
      </c>
      <c r="G42" s="14" t="s">
        <v>75</v>
      </c>
      <c r="H42" s="14">
        <v>82</v>
      </c>
      <c r="I42" s="14" t="s">
        <v>75</v>
      </c>
      <c r="K42" s="73"/>
      <c r="L42" s="73"/>
    </row>
    <row r="43" spans="1:12" ht="16.2">
      <c r="A43" s="49" t="s">
        <v>134</v>
      </c>
      <c r="B43" s="71"/>
      <c r="C43" s="71"/>
      <c r="D43" s="71"/>
      <c r="E43" s="71"/>
      <c r="F43" s="71"/>
      <c r="G43" s="71"/>
      <c r="H43" s="71"/>
      <c r="I43" s="71"/>
    </row>
    <row r="44" spans="1:12" ht="16.2">
      <c r="A44" s="16" t="s">
        <v>135</v>
      </c>
      <c r="B44" s="71"/>
      <c r="C44" s="71"/>
      <c r="D44" s="71"/>
      <c r="E44" s="71"/>
      <c r="F44" s="71"/>
      <c r="G44" s="71"/>
      <c r="H44" s="71"/>
      <c r="I44" s="71"/>
    </row>
    <row r="45" spans="1:12" ht="14.4">
      <c r="A45" s="16" t="s">
        <v>184</v>
      </c>
      <c r="B45" s="16"/>
      <c r="C45" s="16"/>
      <c r="D45" s="16"/>
      <c r="E45" s="16"/>
      <c r="F45" s="71"/>
      <c r="G45" s="16"/>
      <c r="H45" s="16"/>
      <c r="I45" s="16"/>
    </row>
    <row r="46" spans="1:12" ht="13.8">
      <c r="A46" s="21" t="s">
        <v>56</v>
      </c>
      <c r="B46" s="43">
        <f>Contents!A16</f>
        <v>45062</v>
      </c>
      <c r="C46" s="16"/>
      <c r="D46" s="16"/>
      <c r="E46" s="16"/>
      <c r="F46" s="16"/>
      <c r="G46" s="16"/>
      <c r="H46" s="16"/>
      <c r="I46" s="16"/>
    </row>
    <row r="47" spans="1:12" ht="15.6">
      <c r="C47" s="72"/>
      <c r="G47" s="72"/>
      <c r="H47" s="72"/>
      <c r="I47" s="72"/>
    </row>
    <row r="48" spans="1:12" ht="15.6">
      <c r="B48" s="73"/>
      <c r="C48" s="73"/>
      <c r="D48" s="73"/>
      <c r="E48" s="73"/>
      <c r="F48" s="73"/>
      <c r="G48" s="73"/>
      <c r="H48" s="72"/>
      <c r="I48" s="72"/>
    </row>
    <row r="49" spans="2:9" ht="15.6">
      <c r="B49" s="110"/>
      <c r="C49" s="110"/>
      <c r="D49" s="110"/>
      <c r="E49" s="110"/>
      <c r="F49" s="110"/>
      <c r="G49" s="110"/>
      <c r="H49" s="72"/>
      <c r="I49" s="72"/>
    </row>
    <row r="50" spans="2:9" ht="15.6">
      <c r="C50" s="72"/>
      <c r="G50" s="72"/>
      <c r="H50" s="72"/>
      <c r="I50" s="72"/>
    </row>
    <row r="51" spans="2:9" ht="15.6">
      <c r="C51" s="72"/>
      <c r="G51" s="72"/>
      <c r="H51" s="72"/>
      <c r="I51" s="72"/>
    </row>
    <row r="52" spans="2:9" ht="15.6">
      <c r="C52" s="72"/>
      <c r="G52" s="72"/>
      <c r="H52" s="72"/>
      <c r="I52" s="72"/>
    </row>
    <row r="53" spans="2:9" ht="15.6">
      <c r="C53" s="72"/>
      <c r="G53" s="72"/>
      <c r="H53" s="72"/>
      <c r="I53" s="72"/>
    </row>
    <row r="54" spans="2:9" ht="15.6">
      <c r="C54" s="72"/>
      <c r="G54" s="72"/>
      <c r="H54" s="72"/>
      <c r="I54" s="72"/>
    </row>
    <row r="55" spans="2:9" ht="15.6">
      <c r="C55" s="72"/>
      <c r="G55" s="72"/>
      <c r="H55" s="72"/>
      <c r="I55" s="72"/>
    </row>
    <row r="56" spans="2:9" ht="15.6">
      <c r="C56" s="72"/>
      <c r="G56" s="72"/>
      <c r="H56" s="72"/>
      <c r="I56" s="72"/>
    </row>
    <row r="57" spans="2:9" ht="15.6">
      <c r="C57" s="72"/>
      <c r="G57" s="72"/>
      <c r="H57" s="72"/>
      <c r="I57" s="72"/>
    </row>
    <row r="58" spans="2:9" ht="15.6">
      <c r="C58" s="72"/>
      <c r="G58" s="72"/>
      <c r="H58" s="72"/>
      <c r="I58" s="72"/>
    </row>
    <row r="59" spans="2:9" ht="15.6">
      <c r="C59" s="72"/>
      <c r="G59" s="72"/>
      <c r="H59" s="72"/>
      <c r="I59" s="72"/>
    </row>
    <row r="60" spans="2:9" ht="15.6">
      <c r="C60" s="72"/>
      <c r="G60" s="72"/>
      <c r="H60" s="72"/>
      <c r="I60" s="72"/>
    </row>
    <row r="61" spans="2:9" ht="15.6">
      <c r="C61" s="72"/>
      <c r="G61" s="72"/>
      <c r="H61" s="72"/>
      <c r="I61" s="72"/>
    </row>
    <row r="62" spans="2:9" ht="15.6">
      <c r="C62" s="72"/>
      <c r="G62" s="72"/>
      <c r="H62" s="72"/>
      <c r="I62" s="72"/>
    </row>
    <row r="63" spans="2:9" ht="15.6">
      <c r="C63" s="72"/>
      <c r="H63" s="72"/>
      <c r="I63" s="72"/>
    </row>
    <row r="64" spans="2:9" ht="15.6">
      <c r="C64" s="72"/>
      <c r="H64" s="72"/>
      <c r="I64" s="72"/>
    </row>
    <row r="65" spans="3:9" ht="15.6">
      <c r="C65" s="72"/>
      <c r="F65" s="73"/>
      <c r="H65" s="72"/>
      <c r="I65" s="72"/>
    </row>
    <row r="66" spans="3:9" ht="15.6">
      <c r="F66" s="73"/>
      <c r="H66" s="72"/>
      <c r="I66" s="72"/>
    </row>
  </sheetData>
  <phoneticPr fontId="28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6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5" t="s">
        <v>10</v>
      </c>
      <c r="B1" s="15"/>
      <c r="C1" s="15"/>
      <c r="D1" s="15"/>
      <c r="E1" s="15"/>
      <c r="F1" s="15"/>
      <c r="G1" s="15"/>
    </row>
    <row r="2" spans="1:28" ht="15.6" customHeight="1">
      <c r="A2" s="16" t="s">
        <v>93</v>
      </c>
      <c r="B2" s="18" t="s">
        <v>118</v>
      </c>
      <c r="C2" s="74" t="s">
        <v>119</v>
      </c>
      <c r="D2" s="74" t="s">
        <v>120</v>
      </c>
      <c r="E2" s="74" t="s">
        <v>122</v>
      </c>
      <c r="F2" s="18" t="s">
        <v>136</v>
      </c>
      <c r="G2" s="18" t="s">
        <v>137</v>
      </c>
      <c r="AB2" s="75"/>
    </row>
    <row r="3" spans="1:28" ht="15.6" customHeight="1">
      <c r="A3" s="15" t="s">
        <v>100</v>
      </c>
      <c r="B3" s="24" t="s">
        <v>138</v>
      </c>
      <c r="C3" s="24" t="s">
        <v>139</v>
      </c>
      <c r="D3" s="24" t="s">
        <v>140</v>
      </c>
      <c r="E3" s="24" t="s">
        <v>141</v>
      </c>
      <c r="F3" s="24" t="s">
        <v>142</v>
      </c>
      <c r="G3" s="24" t="s">
        <v>143</v>
      </c>
      <c r="AB3" s="75"/>
    </row>
    <row r="4" spans="1:28" ht="14.4">
      <c r="A4" s="67" t="s">
        <v>144</v>
      </c>
      <c r="C4" s="68"/>
      <c r="D4" s="68"/>
      <c r="E4" s="68"/>
      <c r="F4" s="68"/>
      <c r="G4" s="68"/>
      <c r="AB4" s="75"/>
    </row>
    <row r="5" spans="1:28" ht="13.8">
      <c r="A5" s="16"/>
      <c r="B5" s="16"/>
      <c r="C5" s="16"/>
      <c r="D5" s="16"/>
      <c r="E5" s="16"/>
      <c r="F5" s="16"/>
      <c r="G5" s="16"/>
      <c r="AB5" s="75"/>
    </row>
    <row r="6" spans="1:28" ht="13.8">
      <c r="A6" s="16" t="s">
        <v>105</v>
      </c>
      <c r="B6" s="70">
        <v>345.52</v>
      </c>
      <c r="C6" s="70">
        <v>273.83999999999997</v>
      </c>
      <c r="D6" s="70">
        <v>219.72</v>
      </c>
      <c r="E6" s="61" t="s">
        <v>75</v>
      </c>
      <c r="F6" s="70">
        <v>263.63</v>
      </c>
      <c r="G6" s="70">
        <v>240.65</v>
      </c>
      <c r="AB6" s="75"/>
    </row>
    <row r="7" spans="1:28" ht="13.8">
      <c r="A7" s="16" t="s">
        <v>106</v>
      </c>
      <c r="B7" s="70">
        <v>393.53</v>
      </c>
      <c r="C7" s="70">
        <v>275.13</v>
      </c>
      <c r="D7" s="70">
        <v>246.75</v>
      </c>
      <c r="E7" s="61" t="s">
        <v>75</v>
      </c>
      <c r="F7" s="70">
        <v>307.58999999999997</v>
      </c>
      <c r="G7" s="70">
        <v>265.68</v>
      </c>
      <c r="AB7" s="75"/>
    </row>
    <row r="8" spans="1:28" ht="13.8">
      <c r="A8" s="16" t="s">
        <v>107</v>
      </c>
      <c r="B8" s="70">
        <v>468.11</v>
      </c>
      <c r="C8" s="70">
        <v>331.52</v>
      </c>
      <c r="D8" s="70">
        <v>241.57</v>
      </c>
      <c r="E8" s="61" t="s">
        <v>75</v>
      </c>
      <c r="F8" s="70">
        <v>354.22</v>
      </c>
      <c r="G8" s="70">
        <v>329.31</v>
      </c>
      <c r="AB8" s="75"/>
    </row>
    <row r="9" spans="1:28" ht="13.8">
      <c r="A9" s="16" t="s">
        <v>108</v>
      </c>
      <c r="B9" s="70">
        <v>489.94</v>
      </c>
      <c r="C9" s="70">
        <v>377.71</v>
      </c>
      <c r="D9" s="70">
        <v>238.87</v>
      </c>
      <c r="E9" s="61" t="s">
        <v>75</v>
      </c>
      <c r="F9" s="70">
        <v>359.7</v>
      </c>
      <c r="G9" s="70">
        <v>337.23</v>
      </c>
      <c r="AB9" s="75"/>
    </row>
    <row r="10" spans="1:28" ht="13.8">
      <c r="A10" s="16" t="s">
        <v>109</v>
      </c>
      <c r="B10" s="70">
        <v>368.49</v>
      </c>
      <c r="C10" s="70">
        <v>304.27</v>
      </c>
      <c r="D10" s="70">
        <v>209.97</v>
      </c>
      <c r="E10" s="61" t="s">
        <v>75</v>
      </c>
      <c r="F10" s="70">
        <v>301.2</v>
      </c>
      <c r="G10" s="70">
        <v>256.58</v>
      </c>
      <c r="AB10" s="75"/>
    </row>
    <row r="11" spans="1:28" ht="13.8">
      <c r="A11" s="16" t="s">
        <v>110</v>
      </c>
      <c r="B11" s="70">
        <v>324.56</v>
      </c>
      <c r="C11" s="70">
        <v>261.19</v>
      </c>
      <c r="D11" s="70">
        <v>153.16999999999999</v>
      </c>
      <c r="E11" s="61" t="s">
        <v>75</v>
      </c>
      <c r="F11" s="70">
        <v>262.2</v>
      </c>
      <c r="G11" s="70">
        <v>260.23</v>
      </c>
      <c r="AB11" s="75"/>
    </row>
    <row r="12" spans="1:28" ht="13.8">
      <c r="A12" s="16" t="s">
        <v>111</v>
      </c>
      <c r="B12" s="70">
        <v>316.88</v>
      </c>
      <c r="C12" s="70">
        <v>208.61</v>
      </c>
      <c r="D12" s="70">
        <v>145.1</v>
      </c>
      <c r="E12" s="61" t="s">
        <v>75</v>
      </c>
      <c r="F12" s="70">
        <v>267.94</v>
      </c>
      <c r="G12" s="70">
        <v>282.49</v>
      </c>
      <c r="AB12" s="75"/>
    </row>
    <row r="13" spans="1:28" ht="13.8">
      <c r="A13" s="16" t="s">
        <v>112</v>
      </c>
      <c r="B13" s="70">
        <v>345.02</v>
      </c>
      <c r="C13" s="70">
        <v>260.88</v>
      </c>
      <c r="D13" s="70">
        <v>173.53</v>
      </c>
      <c r="E13" s="61" t="s">
        <v>75</v>
      </c>
      <c r="F13" s="70">
        <v>291.14999999999998</v>
      </c>
      <c r="G13" s="70">
        <v>239.15</v>
      </c>
    </row>
    <row r="14" spans="1:28" ht="13.8">
      <c r="A14" s="16" t="s">
        <v>113</v>
      </c>
      <c r="B14" s="70">
        <v>308.27999999999997</v>
      </c>
      <c r="C14" s="70">
        <v>228.64</v>
      </c>
      <c r="D14" s="70">
        <v>164.16</v>
      </c>
      <c r="E14" s="61" t="s">
        <v>75</v>
      </c>
      <c r="F14" s="70">
        <v>272.38</v>
      </c>
      <c r="G14" s="70">
        <v>225.77</v>
      </c>
    </row>
    <row r="15" spans="1:28" ht="13.8">
      <c r="A15" s="16" t="s">
        <v>114</v>
      </c>
      <c r="B15" s="70">
        <v>299.5</v>
      </c>
      <c r="C15" s="70">
        <v>247.04</v>
      </c>
      <c r="D15" s="70">
        <v>187.7</v>
      </c>
      <c r="E15" s="61" t="s">
        <v>75</v>
      </c>
      <c r="F15" s="70">
        <v>273.99</v>
      </c>
      <c r="G15" s="70">
        <v>245.88</v>
      </c>
    </row>
    <row r="16" spans="1:28" ht="13.8">
      <c r="A16" s="16" t="s">
        <v>34</v>
      </c>
      <c r="B16" s="70">
        <v>392.31</v>
      </c>
      <c r="C16" s="70">
        <v>375.51</v>
      </c>
      <c r="D16" s="122">
        <v>246.22</v>
      </c>
      <c r="E16" s="61" t="s">
        <v>75</v>
      </c>
      <c r="F16" s="70">
        <v>351.87</v>
      </c>
      <c r="G16" s="70">
        <v>288.12</v>
      </c>
    </row>
    <row r="17" spans="1:13" ht="13.8">
      <c r="A17" s="16" t="s">
        <v>37</v>
      </c>
      <c r="B17" s="70">
        <v>439.81</v>
      </c>
      <c r="C17" s="70">
        <v>355.33</v>
      </c>
      <c r="D17" s="70">
        <v>279.98</v>
      </c>
      <c r="E17" s="61" t="s">
        <v>75</v>
      </c>
      <c r="F17" s="70">
        <v>439.1</v>
      </c>
      <c r="G17" s="70">
        <v>332.21</v>
      </c>
    </row>
    <row r="18" spans="1:13" ht="16.2">
      <c r="A18" s="16" t="s">
        <v>133</v>
      </c>
      <c r="B18" s="70">
        <v>455</v>
      </c>
      <c r="C18" s="70">
        <v>385</v>
      </c>
      <c r="D18" s="70">
        <v>285</v>
      </c>
      <c r="E18" s="61" t="s">
        <v>75</v>
      </c>
      <c r="F18" s="70">
        <v>430</v>
      </c>
      <c r="G18" s="122">
        <v>380</v>
      </c>
      <c r="I18" s="73"/>
    </row>
    <row r="19" spans="1:13" ht="16.2">
      <c r="A19" s="16" t="s">
        <v>190</v>
      </c>
      <c r="B19" s="70">
        <v>365</v>
      </c>
      <c r="C19" s="70">
        <v>334</v>
      </c>
      <c r="D19" s="70">
        <v>215</v>
      </c>
      <c r="E19" s="61" t="s">
        <v>75</v>
      </c>
      <c r="F19" s="70">
        <v>335</v>
      </c>
      <c r="G19" s="122">
        <v>265</v>
      </c>
      <c r="I19" s="73"/>
    </row>
    <row r="20" spans="1:13" ht="13.8">
      <c r="A20" s="16"/>
      <c r="B20" s="70"/>
      <c r="C20" s="70"/>
      <c r="D20" s="70"/>
      <c r="E20" s="61"/>
      <c r="F20" s="70"/>
      <c r="G20" s="70"/>
      <c r="I20" s="76"/>
      <c r="J20" s="77"/>
      <c r="K20" s="77"/>
      <c r="L20" s="77"/>
      <c r="M20" s="77"/>
    </row>
    <row r="21" spans="1:13" ht="13.8">
      <c r="A21" s="36" t="s">
        <v>37</v>
      </c>
      <c r="B21" s="70"/>
      <c r="C21" s="70"/>
      <c r="D21" s="70"/>
      <c r="E21" s="57"/>
      <c r="F21" s="70"/>
      <c r="G21" s="70"/>
      <c r="H21" s="57"/>
    </row>
    <row r="22" spans="1:13" ht="13.8">
      <c r="A22" s="16" t="s">
        <v>39</v>
      </c>
      <c r="B22" s="70">
        <v>325.43</v>
      </c>
      <c r="C22" s="70">
        <v>298.75</v>
      </c>
      <c r="D22" s="70">
        <v>222.5</v>
      </c>
      <c r="E22" s="61" t="s">
        <v>75</v>
      </c>
      <c r="F22" s="70">
        <v>322.82499999999999</v>
      </c>
      <c r="G22" s="70">
        <v>265.625</v>
      </c>
      <c r="H22" s="57"/>
      <c r="I22" s="73"/>
    </row>
    <row r="23" spans="1:13" ht="13.8">
      <c r="A23" s="16" t="s">
        <v>40</v>
      </c>
      <c r="B23" s="70">
        <v>358.73</v>
      </c>
      <c r="C23" s="70">
        <v>304.5</v>
      </c>
      <c r="D23" s="70">
        <v>256.5</v>
      </c>
      <c r="E23" s="61" t="s">
        <v>75</v>
      </c>
      <c r="F23" s="70">
        <v>350.21999999999997</v>
      </c>
      <c r="G23" s="70">
        <v>252</v>
      </c>
      <c r="H23" s="57"/>
      <c r="I23" s="73"/>
    </row>
    <row r="24" spans="1:13" ht="13.8">
      <c r="A24" s="16" t="s">
        <v>42</v>
      </c>
      <c r="B24" s="70">
        <v>399.53</v>
      </c>
      <c r="C24" s="70">
        <v>311.25</v>
      </c>
      <c r="D24" s="70">
        <v>289.16666666666669</v>
      </c>
      <c r="E24" s="61" t="s">
        <v>75</v>
      </c>
      <c r="F24" s="70">
        <v>382.9666666666667</v>
      </c>
      <c r="G24" s="70">
        <v>309.16666666666669</v>
      </c>
      <c r="H24" s="57"/>
      <c r="I24" s="73"/>
    </row>
    <row r="25" spans="1:13" ht="13.8">
      <c r="A25" s="16" t="s">
        <v>145</v>
      </c>
      <c r="B25" s="70">
        <v>421.21</v>
      </c>
      <c r="C25" s="70">
        <v>318.125</v>
      </c>
      <c r="D25" s="70">
        <v>301.25</v>
      </c>
      <c r="E25" s="61" t="s">
        <v>75</v>
      </c>
      <c r="F25" s="70">
        <v>410.875</v>
      </c>
      <c r="G25" s="70">
        <v>326.25</v>
      </c>
      <c r="H25" s="57"/>
      <c r="I25" s="73"/>
    </row>
    <row r="26" spans="1:13" ht="13.8">
      <c r="A26" s="16" t="s">
        <v>44</v>
      </c>
      <c r="B26" s="122">
        <v>460.45</v>
      </c>
      <c r="C26" s="70">
        <v>333.75</v>
      </c>
      <c r="D26" s="70">
        <v>320</v>
      </c>
      <c r="E26" s="61" t="s">
        <v>75</v>
      </c>
      <c r="F26" s="70">
        <v>454.625</v>
      </c>
      <c r="G26" s="70">
        <v>350</v>
      </c>
      <c r="H26" s="57"/>
      <c r="I26" s="73"/>
    </row>
    <row r="27" spans="1:13" ht="13.8">
      <c r="A27" s="16" t="s">
        <v>46</v>
      </c>
      <c r="B27" s="122">
        <v>493.97500000000002</v>
      </c>
      <c r="C27" s="70">
        <v>345.625</v>
      </c>
      <c r="D27" s="70">
        <v>333.33300000000003</v>
      </c>
      <c r="E27" s="61" t="s">
        <v>75</v>
      </c>
      <c r="F27" s="70">
        <v>487.03750000000002</v>
      </c>
      <c r="G27" s="70">
        <v>392.5</v>
      </c>
      <c r="H27" s="57"/>
      <c r="I27" s="73"/>
    </row>
    <row r="28" spans="1:13" ht="13.8">
      <c r="A28" s="16" t="s">
        <v>47</v>
      </c>
      <c r="B28" s="122">
        <v>475.35999999999996</v>
      </c>
      <c r="C28" s="70">
        <v>355</v>
      </c>
      <c r="D28" s="70">
        <v>321</v>
      </c>
      <c r="E28" s="61" t="s">
        <v>75</v>
      </c>
      <c r="F28" s="70">
        <v>470.77999999999992</v>
      </c>
      <c r="G28" s="70">
        <v>386</v>
      </c>
      <c r="H28" s="57"/>
      <c r="I28" s="73"/>
    </row>
    <row r="29" spans="1:13" ht="13.8">
      <c r="A29" s="16" t="s">
        <v>48</v>
      </c>
      <c r="B29" s="122">
        <v>441.27499999999998</v>
      </c>
      <c r="C29" s="70">
        <v>388.75</v>
      </c>
      <c r="D29" s="70">
        <v>285.625</v>
      </c>
      <c r="E29" s="61" t="s">
        <v>75</v>
      </c>
      <c r="F29" s="70">
        <v>454.5</v>
      </c>
      <c r="G29" s="70">
        <v>351.25</v>
      </c>
      <c r="H29" s="57"/>
      <c r="I29" s="73"/>
    </row>
    <row r="30" spans="1:13" ht="13.8">
      <c r="A30" s="16" t="s">
        <v>50</v>
      </c>
      <c r="B30" s="122">
        <v>445.92499999999995</v>
      </c>
      <c r="C30" s="70">
        <v>383.75</v>
      </c>
      <c r="D30" s="70">
        <v>281.875</v>
      </c>
      <c r="E30" s="61" t="s">
        <v>75</v>
      </c>
      <c r="F30" s="70">
        <v>478.17499999999995</v>
      </c>
      <c r="G30" s="70">
        <v>322.5</v>
      </c>
      <c r="H30" s="57"/>
      <c r="I30" s="73"/>
    </row>
    <row r="31" spans="1:13" ht="13.8">
      <c r="A31" s="16" t="s">
        <v>51</v>
      </c>
      <c r="B31" s="122">
        <v>467.87</v>
      </c>
      <c r="C31" s="70">
        <v>369.5</v>
      </c>
      <c r="D31" s="70">
        <v>268.5</v>
      </c>
      <c r="E31" s="61" t="s">
        <v>75</v>
      </c>
      <c r="F31" s="70">
        <v>501.17999999999995</v>
      </c>
      <c r="G31" s="70">
        <v>351.5</v>
      </c>
      <c r="H31" s="57"/>
      <c r="I31" s="73"/>
    </row>
    <row r="32" spans="1:13" ht="13.8">
      <c r="A32" s="16" t="s">
        <v>52</v>
      </c>
      <c r="B32" s="122">
        <v>510.90000000000009</v>
      </c>
      <c r="C32" s="70">
        <v>405</v>
      </c>
      <c r="D32" s="70">
        <v>255</v>
      </c>
      <c r="E32" s="61" t="s">
        <v>75</v>
      </c>
      <c r="F32" s="70">
        <v>521.52500000000009</v>
      </c>
      <c r="G32" s="70">
        <v>347.5</v>
      </c>
      <c r="H32" s="57"/>
      <c r="I32" s="73"/>
    </row>
    <row r="33" spans="1:10" ht="13.8">
      <c r="A33" s="16" t="s">
        <v>38</v>
      </c>
      <c r="B33" s="122">
        <v>473.93999999999994</v>
      </c>
      <c r="C33" s="70">
        <v>450</v>
      </c>
      <c r="D33" s="70">
        <v>225</v>
      </c>
      <c r="E33" s="61" t="s">
        <v>75</v>
      </c>
      <c r="F33" s="70">
        <v>434.53999999999996</v>
      </c>
      <c r="G33" s="70" t="s">
        <v>75</v>
      </c>
      <c r="H33" s="57"/>
    </row>
    <row r="34" spans="1:10" ht="13.8">
      <c r="A34" s="16"/>
      <c r="B34" s="122"/>
      <c r="C34" s="70"/>
      <c r="D34" s="70"/>
      <c r="E34" s="61"/>
      <c r="F34" s="70"/>
      <c r="G34" s="70"/>
      <c r="H34" s="57"/>
    </row>
    <row r="35" spans="1:10" ht="13.8">
      <c r="A35" s="36" t="s">
        <v>54</v>
      </c>
      <c r="B35" s="122"/>
      <c r="C35" s="70"/>
      <c r="D35" s="70"/>
      <c r="E35" s="61"/>
      <c r="F35" s="70"/>
      <c r="G35" s="70"/>
      <c r="H35" s="57"/>
    </row>
    <row r="36" spans="1:10" ht="13.8">
      <c r="A36" s="16" t="s">
        <v>39</v>
      </c>
      <c r="B36" s="122">
        <v>468.67499999999995</v>
      </c>
      <c r="C36" s="70">
        <v>451.875</v>
      </c>
      <c r="D36" s="70" t="s">
        <v>75</v>
      </c>
      <c r="E36" s="61" t="s">
        <v>75</v>
      </c>
      <c r="F36" s="70">
        <v>409.17499999999995</v>
      </c>
      <c r="G36" s="70" t="s">
        <v>75</v>
      </c>
      <c r="H36" s="57"/>
    </row>
    <row r="37" spans="1:10" ht="13.8">
      <c r="A37" s="16" t="s">
        <v>40</v>
      </c>
      <c r="B37" s="122">
        <v>436.74999999999994</v>
      </c>
      <c r="C37" s="70">
        <v>405</v>
      </c>
      <c r="D37" s="70" t="s">
        <v>75</v>
      </c>
      <c r="E37" s="61" t="s">
        <v>75</v>
      </c>
      <c r="F37" s="70">
        <v>402.99999999999994</v>
      </c>
      <c r="G37" s="70">
        <v>357.5</v>
      </c>
      <c r="H37" s="57"/>
      <c r="I37" s="73"/>
    </row>
    <row r="38" spans="1:10" ht="13.8">
      <c r="A38" s="16" t="s">
        <v>42</v>
      </c>
      <c r="B38" s="122">
        <v>462.85</v>
      </c>
      <c r="C38" s="70">
        <v>390.625</v>
      </c>
      <c r="D38" s="70">
        <v>200</v>
      </c>
      <c r="E38" s="61" t="s">
        <v>75</v>
      </c>
      <c r="F38" s="70">
        <v>437.09999999999997</v>
      </c>
      <c r="G38" s="70">
        <v>368.5</v>
      </c>
      <c r="H38" s="57"/>
      <c r="I38" s="73"/>
    </row>
    <row r="39" spans="1:10" ht="13.8">
      <c r="A39" s="16" t="s">
        <v>43</v>
      </c>
      <c r="B39" s="122">
        <v>482.40000000000003</v>
      </c>
      <c r="C39" s="70">
        <v>386.25</v>
      </c>
      <c r="D39" s="70">
        <v>355</v>
      </c>
      <c r="E39" s="61" t="s">
        <v>75</v>
      </c>
      <c r="F39" s="70">
        <v>474.02500000000003</v>
      </c>
      <c r="G39" s="70">
        <v>397.5</v>
      </c>
      <c r="I39" s="73"/>
    </row>
    <row r="40" spans="1:10" ht="13.8">
      <c r="A40" s="16" t="s">
        <v>44</v>
      </c>
      <c r="B40" s="122">
        <v>500.52499999999998</v>
      </c>
      <c r="C40" s="70">
        <v>392.5</v>
      </c>
      <c r="D40" s="70">
        <v>336.25</v>
      </c>
      <c r="E40" s="61" t="s">
        <v>75</v>
      </c>
      <c r="F40" s="70">
        <v>501.02499999999998</v>
      </c>
      <c r="G40" s="70">
        <v>412.5</v>
      </c>
      <c r="I40" s="73"/>
    </row>
    <row r="41" spans="1:10" ht="13.8">
      <c r="A41" s="16" t="s">
        <v>46</v>
      </c>
      <c r="B41" s="122">
        <v>484.4</v>
      </c>
      <c r="C41" s="70">
        <v>386.25</v>
      </c>
      <c r="D41" s="70">
        <v>308</v>
      </c>
      <c r="E41" s="61" t="s">
        <v>75</v>
      </c>
      <c r="F41" s="70">
        <v>466.6</v>
      </c>
      <c r="G41" s="70">
        <v>380.4</v>
      </c>
      <c r="I41" s="73"/>
    </row>
    <row r="42" spans="1:10" ht="13.8">
      <c r="A42" s="15" t="s">
        <v>47</v>
      </c>
      <c r="B42" s="123">
        <v>457.25</v>
      </c>
      <c r="C42" s="121">
        <v>364.375</v>
      </c>
      <c r="D42" s="121">
        <v>252.5</v>
      </c>
      <c r="E42" s="103" t="s">
        <v>75</v>
      </c>
      <c r="F42" s="121">
        <v>434.75</v>
      </c>
      <c r="G42" s="121">
        <v>352.5</v>
      </c>
      <c r="I42" s="73"/>
    </row>
    <row r="43" spans="1:10" ht="16.2">
      <c r="A43" s="49" t="s">
        <v>146</v>
      </c>
      <c r="B43" s="78"/>
      <c r="C43" s="78"/>
      <c r="D43" s="78"/>
      <c r="E43" s="78"/>
      <c r="F43" s="78"/>
      <c r="G43" s="78"/>
      <c r="I43" s="76"/>
    </row>
    <row r="44" spans="1:10" ht="16.2">
      <c r="A44" s="49" t="s">
        <v>147</v>
      </c>
      <c r="B44" s="79"/>
      <c r="C44" s="79"/>
      <c r="D44" s="79"/>
      <c r="E44" s="79"/>
      <c r="F44" s="79"/>
      <c r="G44" s="79"/>
      <c r="I44" s="76"/>
      <c r="J44" s="76"/>
    </row>
    <row r="45" spans="1:10" ht="14.4">
      <c r="A45" s="16" t="s">
        <v>185</v>
      </c>
      <c r="B45" s="16"/>
      <c r="C45" s="16"/>
      <c r="D45" s="16"/>
      <c r="E45" s="16"/>
      <c r="F45" s="79"/>
      <c r="G45" s="79"/>
      <c r="I45" s="76"/>
      <c r="J45" s="76"/>
    </row>
    <row r="46" spans="1:10" ht="13.8">
      <c r="A46" s="21" t="s">
        <v>56</v>
      </c>
      <c r="B46" s="43">
        <f>Contents!A16</f>
        <v>45062</v>
      </c>
      <c r="C46" s="16"/>
      <c r="D46" s="16"/>
      <c r="E46" s="16"/>
      <c r="F46" s="79"/>
      <c r="G46" s="79"/>
      <c r="I46" s="80"/>
      <c r="J46" s="80"/>
    </row>
    <row r="47" spans="1:10" ht="13.8">
      <c r="F47" s="79"/>
      <c r="G47" s="79"/>
      <c r="I47" s="80"/>
      <c r="J47" s="80"/>
    </row>
    <row r="48" spans="1:10" ht="13.8">
      <c r="F48" s="79"/>
      <c r="G48" s="79"/>
      <c r="I48" s="76"/>
      <c r="J48" s="76"/>
    </row>
    <row r="49" spans="2:10">
      <c r="B49" s="73"/>
      <c r="I49" s="76"/>
      <c r="J49" s="76"/>
    </row>
    <row r="50" spans="2:10">
      <c r="I50" s="76"/>
      <c r="J50" s="76"/>
    </row>
    <row r="51" spans="2:10">
      <c r="I51" s="76"/>
      <c r="J51" s="76"/>
    </row>
    <row r="52" spans="2:10">
      <c r="I52" s="76"/>
      <c r="J52" s="76"/>
    </row>
    <row r="53" spans="2:10">
      <c r="I53" s="76"/>
      <c r="J53" s="76"/>
    </row>
    <row r="55" spans="2:10">
      <c r="I55" s="81"/>
      <c r="J55" s="81"/>
    </row>
    <row r="56" spans="2:10">
      <c r="I56" s="81"/>
      <c r="J56" s="81"/>
    </row>
  </sheetData>
  <phoneticPr fontId="28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B4A8-D2E6-435C-A08F-663738F5C381}">
  <dimension ref="A1:H28"/>
  <sheetViews>
    <sheetView zoomScaleNormal="100" workbookViewId="0">
      <selection activeCell="H13" sqref="H13"/>
    </sheetView>
  </sheetViews>
  <sheetFormatPr defaultColWidth="9.109375" defaultRowHeight="13.2"/>
  <cols>
    <col min="1" max="1" width="12.6640625" style="113" bestFit="1" customWidth="1"/>
    <col min="2" max="2" width="12.88671875" style="113" customWidth="1"/>
    <col min="3" max="3" width="11.5546875" style="113" customWidth="1"/>
    <col min="4" max="4" width="12.6640625" style="113" customWidth="1"/>
    <col min="5" max="5" width="10.6640625" style="113" bestFit="1" customWidth="1"/>
    <col min="6" max="6" width="10.6640625" style="113" customWidth="1"/>
    <col min="8" max="16384" width="9.109375" style="113"/>
  </cols>
  <sheetData>
    <row r="1" spans="1:8" ht="26.4">
      <c r="A1" s="119" t="s">
        <v>148</v>
      </c>
      <c r="B1" s="119" t="s">
        <v>193</v>
      </c>
      <c r="C1" s="119" t="s">
        <v>194</v>
      </c>
      <c r="D1" s="119" t="s">
        <v>192</v>
      </c>
      <c r="E1" s="119" t="s">
        <v>186</v>
      </c>
      <c r="F1" s="119" t="s">
        <v>195</v>
      </c>
    </row>
    <row r="2" spans="1:8">
      <c r="A2" s="126" t="s">
        <v>106</v>
      </c>
      <c r="B2" s="154">
        <v>66.5</v>
      </c>
      <c r="C2" s="154">
        <v>84.290999999999997</v>
      </c>
      <c r="D2" s="127">
        <v>40.1</v>
      </c>
      <c r="E2" s="155">
        <v>50.134</v>
      </c>
      <c r="F2" s="154">
        <v>241.02500000000001</v>
      </c>
      <c r="G2" s="114"/>
      <c r="H2" s="141"/>
    </row>
    <row r="3" spans="1:8">
      <c r="A3" s="126" t="s">
        <v>107</v>
      </c>
      <c r="B3" s="154">
        <v>82</v>
      </c>
      <c r="C3" s="154">
        <v>82.790999999999997</v>
      </c>
      <c r="D3" s="127">
        <v>49.3</v>
      </c>
      <c r="E3" s="155">
        <v>54.731999999999999</v>
      </c>
      <c r="F3" s="154">
        <v>268.82299999999998</v>
      </c>
      <c r="G3" s="114"/>
      <c r="H3" s="141"/>
    </row>
    <row r="4" spans="1:8">
      <c r="A4" s="126" t="s">
        <v>108</v>
      </c>
      <c r="B4" s="154">
        <v>86.2</v>
      </c>
      <c r="C4" s="154">
        <v>91.363</v>
      </c>
      <c r="D4" s="127">
        <v>53.4</v>
      </c>
      <c r="E4" s="155">
        <v>52.276000000000003</v>
      </c>
      <c r="F4" s="154">
        <v>283.23899999999998</v>
      </c>
      <c r="G4" s="114"/>
      <c r="H4" s="141"/>
    </row>
    <row r="5" spans="1:8">
      <c r="A5" s="126" t="s">
        <v>109</v>
      </c>
      <c r="B5" s="154">
        <v>97.1</v>
      </c>
      <c r="C5" s="154">
        <v>106.905</v>
      </c>
      <c r="D5" s="127">
        <v>61.45</v>
      </c>
      <c r="E5" s="155">
        <v>55.793000000000006</v>
      </c>
      <c r="F5" s="154">
        <v>321.24799999999999</v>
      </c>
      <c r="G5" s="114"/>
      <c r="H5" s="141"/>
    </row>
    <row r="6" spans="1:8">
      <c r="A6" s="126" t="s">
        <v>110</v>
      </c>
      <c r="B6" s="154">
        <v>95.7</v>
      </c>
      <c r="C6" s="154">
        <v>106.869</v>
      </c>
      <c r="D6" s="127">
        <v>58.8</v>
      </c>
      <c r="E6" s="155">
        <v>54.463999999999999</v>
      </c>
      <c r="F6" s="154">
        <v>315.83300000000003</v>
      </c>
      <c r="G6" s="114"/>
      <c r="H6" s="141"/>
    </row>
    <row r="7" spans="1:8">
      <c r="A7" s="120" t="s">
        <v>111</v>
      </c>
      <c r="B7" s="154">
        <v>114.9</v>
      </c>
      <c r="C7" s="154">
        <v>116.931</v>
      </c>
      <c r="D7" s="127">
        <v>55</v>
      </c>
      <c r="E7" s="155">
        <v>63.727000000000004</v>
      </c>
      <c r="F7" s="154">
        <v>350.55799999999999</v>
      </c>
      <c r="G7" s="114"/>
      <c r="H7" s="141"/>
    </row>
    <row r="8" spans="1:8">
      <c r="A8" s="120" t="s">
        <v>112</v>
      </c>
      <c r="B8" s="154">
        <v>123.4</v>
      </c>
      <c r="C8" s="154">
        <v>120.065</v>
      </c>
      <c r="D8" s="127">
        <v>37.799999999999997</v>
      </c>
      <c r="E8" s="155">
        <v>62.210999999999999</v>
      </c>
      <c r="F8" s="154">
        <v>343.476</v>
      </c>
      <c r="G8" s="114"/>
      <c r="H8" s="141"/>
    </row>
    <row r="9" spans="1:8">
      <c r="A9" s="120" t="s">
        <v>113</v>
      </c>
      <c r="B9" s="154">
        <v>120.5</v>
      </c>
      <c r="C9" s="154">
        <v>120.515</v>
      </c>
      <c r="D9" s="127">
        <v>55.3</v>
      </c>
      <c r="E9" s="155">
        <v>66.7</v>
      </c>
      <c r="F9" s="154">
        <v>363.01499999999999</v>
      </c>
      <c r="G9" s="114"/>
      <c r="H9" s="141"/>
    </row>
    <row r="10" spans="1:8">
      <c r="A10" s="120" t="s">
        <v>114</v>
      </c>
      <c r="B10" s="154">
        <v>128.5</v>
      </c>
      <c r="C10" s="154">
        <v>96.667000000000002</v>
      </c>
      <c r="D10" s="127">
        <v>48.8</v>
      </c>
      <c r="E10" s="155">
        <v>66.929000000000002</v>
      </c>
      <c r="F10" s="154">
        <v>340.89600000000002</v>
      </c>
      <c r="G10" s="114"/>
      <c r="H10" s="141"/>
    </row>
    <row r="11" spans="1:8">
      <c r="A11" s="120" t="s">
        <v>34</v>
      </c>
      <c r="B11" s="154">
        <v>139.5</v>
      </c>
      <c r="C11" s="154">
        <v>114.749</v>
      </c>
      <c r="D11" s="127">
        <v>46.2</v>
      </c>
      <c r="E11" s="155">
        <v>68.147000000000006</v>
      </c>
      <c r="F11" s="154">
        <v>368.596</v>
      </c>
      <c r="G11" s="114"/>
      <c r="H11" s="141"/>
    </row>
    <row r="12" spans="1:8">
      <c r="A12" s="117" t="s">
        <v>37</v>
      </c>
      <c r="B12" s="154">
        <v>130.5</v>
      </c>
      <c r="C12" s="154">
        <v>121.52800000000001</v>
      </c>
      <c r="D12" s="127">
        <v>43.9</v>
      </c>
      <c r="E12" s="155">
        <v>63.917999999999999</v>
      </c>
      <c r="F12" s="154">
        <v>359.846</v>
      </c>
      <c r="G12" s="114"/>
      <c r="H12" s="141"/>
    </row>
    <row r="13" spans="1:8">
      <c r="A13" s="117" t="s">
        <v>196</v>
      </c>
      <c r="B13" s="154">
        <v>155</v>
      </c>
      <c r="C13" s="154">
        <v>116.377</v>
      </c>
      <c r="D13" s="127">
        <v>27</v>
      </c>
      <c r="E13" s="155">
        <v>72.043999999999997</v>
      </c>
      <c r="F13" s="154">
        <v>370.42099999999999</v>
      </c>
      <c r="G13" s="114"/>
      <c r="H13" s="141"/>
    </row>
    <row r="14" spans="1:8">
      <c r="A14" s="117" t="s">
        <v>150</v>
      </c>
      <c r="B14" s="154">
        <v>163</v>
      </c>
      <c r="C14" s="155">
        <v>122.742</v>
      </c>
      <c r="D14" s="155">
        <v>48</v>
      </c>
      <c r="E14" s="155">
        <v>76.843000000000004</v>
      </c>
      <c r="F14" s="155">
        <v>410.58499999999998</v>
      </c>
      <c r="G14" s="114"/>
    </row>
    <row r="15" spans="1:8">
      <c r="B15" s="139"/>
      <c r="C15" s="139"/>
      <c r="E15" s="139"/>
      <c r="F15" s="139"/>
    </row>
    <row r="16" spans="1:8">
      <c r="B16" s="139"/>
      <c r="C16" s="139"/>
      <c r="D16" s="139"/>
      <c r="E16" s="139"/>
      <c r="F16" s="139"/>
    </row>
    <row r="17" spans="2:6">
      <c r="B17" s="139"/>
      <c r="C17" s="139"/>
      <c r="D17" s="139"/>
      <c r="E17" s="139"/>
      <c r="F17" s="139"/>
    </row>
    <row r="18" spans="2:6">
      <c r="B18" s="139"/>
      <c r="C18" s="139"/>
      <c r="D18" s="139"/>
      <c r="E18" s="139"/>
      <c r="F18" s="139"/>
    </row>
    <row r="19" spans="2:6">
      <c r="B19" s="139"/>
      <c r="C19" s="139"/>
      <c r="D19" s="139"/>
      <c r="E19" s="139"/>
      <c r="F19" s="139"/>
    </row>
    <row r="20" spans="2:6">
      <c r="B20" s="139"/>
      <c r="C20" s="139"/>
      <c r="D20" s="139"/>
      <c r="E20" s="139"/>
      <c r="F20" s="139"/>
    </row>
    <row r="21" spans="2:6">
      <c r="B21" s="139"/>
      <c r="C21" s="139"/>
      <c r="D21" s="139"/>
      <c r="E21" s="139"/>
      <c r="F21" s="139"/>
    </row>
    <row r="22" spans="2:6">
      <c r="B22" s="139"/>
      <c r="C22" s="139"/>
      <c r="D22" s="139"/>
      <c r="E22" s="139"/>
      <c r="F22" s="139"/>
    </row>
    <row r="23" spans="2:6">
      <c r="B23" s="139"/>
      <c r="C23" s="139"/>
      <c r="D23" s="139"/>
      <c r="E23" s="139"/>
      <c r="F23" s="139"/>
    </row>
    <row r="24" spans="2:6">
      <c r="B24" s="139"/>
      <c r="C24" s="139"/>
      <c r="D24" s="139"/>
      <c r="E24" s="139"/>
      <c r="F24" s="139"/>
    </row>
    <row r="25" spans="2:6">
      <c r="B25" s="139"/>
      <c r="C25" s="139"/>
      <c r="D25" s="139"/>
      <c r="E25" s="139"/>
      <c r="F25" s="139"/>
    </row>
    <row r="26" spans="2:6">
      <c r="B26" s="139"/>
      <c r="C26" s="139"/>
      <c r="D26" s="139"/>
      <c r="E26" s="139"/>
      <c r="F26" s="139"/>
    </row>
    <row r="27" spans="2:6">
      <c r="B27" s="139"/>
      <c r="C27" s="139"/>
      <c r="D27" s="139"/>
      <c r="E27" s="139"/>
      <c r="F27" s="139"/>
    </row>
    <row r="28" spans="2:6">
      <c r="B28" s="139"/>
      <c r="C28" s="139"/>
      <c r="D28" s="139"/>
      <c r="E28" s="139"/>
      <c r="F28" s="139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purl.org/dc/dcmitype/"/>
    <ds:schemaRef ds:uri="http://schemas.microsoft.com/office/2006/documentManagement/types"/>
    <ds:schemaRef ds:uri="c49de858-f9fd-4eb6-bcba-50396646711f"/>
    <ds:schemaRef ds:uri="http://purl.org/dc/terms/"/>
    <ds:schemaRef ds:uri="7818c5c2-d41f-4dce-801c-4e3595afcb3f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2023-05-15T19:31:20Z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