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adrian_osman_usda_gov/Documents/Desktop/"/>
    </mc:Choice>
  </mc:AlternateContent>
  <xr:revisionPtr revIDLastSave="3074" documentId="13_ncr:1_{03C732F9-66D6-4CB8-9D4C-9BC0FD2EC223}" xr6:coauthVersionLast="47" xr6:coauthVersionMax="47" xr10:uidLastSave="{301590B3-5E68-40DC-B061-D2CE852A2DC6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39" r:id="rId9"/>
    <sheet name="Figure 2" sheetId="138" r:id="rId10"/>
    <sheet name="Figure 3" sheetId="137" r:id="rId11"/>
    <sheet name="Figure 4" sheetId="125" r:id="rId12"/>
  </sheets>
  <definedNames>
    <definedName name="_xlnm.Print_Area" localSheetId="1">'Table 1'!$A$1:$N$44</definedName>
    <definedName name="_xlnm.Print_Area" localSheetId="7">'Table 10'!$A$1:$G$46</definedName>
    <definedName name="_xlnm.Print_Area" localSheetId="2">'Table 2'!$A$1:$J$35</definedName>
    <definedName name="_xlnm.Print_Area" localSheetId="3">'Table 3'!$A$1:$L$48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L7" i="9"/>
  <c r="K7" i="9"/>
  <c r="G7" i="9"/>
  <c r="O45" i="3"/>
  <c r="J32" i="3"/>
  <c r="I32" i="3"/>
  <c r="J20" i="3"/>
  <c r="K7" i="3"/>
  <c r="J7" i="3"/>
  <c r="J8" i="3"/>
  <c r="I33" i="3"/>
  <c r="F46" i="3"/>
  <c r="H33" i="2"/>
  <c r="H32" i="2"/>
  <c r="H31" i="2"/>
  <c r="H30" i="2"/>
  <c r="H29" i="2"/>
  <c r="H28" i="2"/>
  <c r="H27" i="2"/>
  <c r="H26" i="2"/>
  <c r="H23" i="2"/>
  <c r="H22" i="2"/>
  <c r="H21" i="2"/>
  <c r="H20" i="2"/>
  <c r="H19" i="2"/>
  <c r="H18" i="2"/>
  <c r="H14" i="2"/>
  <c r="H13" i="2"/>
  <c r="G11" i="1" l="1"/>
  <c r="L40" i="1"/>
  <c r="L39" i="1"/>
  <c r="L38" i="1"/>
  <c r="L36" i="1"/>
  <c r="L35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N45" i="3" l="1"/>
  <c r="I8" i="2" l="1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1" i="9"/>
  <c r="J23" i="9"/>
  <c r="G8" i="9"/>
  <c r="K8" i="9" s="1"/>
  <c r="D27" i="9" l="1"/>
  <c r="D26" i="9"/>
  <c r="D22" i="9"/>
  <c r="D21" i="9"/>
  <c r="D20" i="9"/>
  <c r="D19" i="9"/>
  <c r="D18" i="9"/>
  <c r="D17" i="9"/>
  <c r="D16" i="9"/>
  <c r="D15" i="9"/>
  <c r="D14" i="9"/>
  <c r="D13" i="9"/>
  <c r="D23" i="9"/>
  <c r="D23" i="2"/>
  <c r="D28" i="2"/>
  <c r="D27" i="2"/>
  <c r="D26" i="2"/>
  <c r="D22" i="2"/>
  <c r="D21" i="2"/>
  <c r="D20" i="2"/>
  <c r="D19" i="2"/>
  <c r="D18" i="2"/>
  <c r="D17" i="2"/>
  <c r="D16" i="2"/>
  <c r="D15" i="2"/>
  <c r="D14" i="2"/>
  <c r="D11" i="2"/>
  <c r="H17" i="2"/>
  <c r="H16" i="2"/>
  <c r="H15" i="2"/>
  <c r="H12" i="2"/>
  <c r="H11" i="2"/>
  <c r="L11" i="1"/>
  <c r="D8" i="1"/>
  <c r="G27" i="1"/>
  <c r="G39" i="1"/>
  <c r="G34" i="1"/>
  <c r="G32" i="1"/>
  <c r="G31" i="1"/>
  <c r="G30" i="1"/>
  <c r="G25" i="1"/>
  <c r="G24" i="1"/>
  <c r="G23" i="1"/>
  <c r="G21" i="1"/>
  <c r="G20" i="1"/>
  <c r="G19" i="1"/>
  <c r="G17" i="1"/>
  <c r="G16" i="1"/>
  <c r="D33" i="9" l="1"/>
  <c r="J33" i="9"/>
  <c r="D33" i="2" l="1"/>
  <c r="J40" i="1" l="1"/>
  <c r="G40" i="1"/>
  <c r="N41" i="1" l="1"/>
  <c r="N37" i="1"/>
  <c r="B33" i="9" l="1"/>
  <c r="E33" i="9" s="1"/>
  <c r="K33" i="9" s="1"/>
  <c r="G33" i="9" s="1"/>
  <c r="B33" i="2"/>
  <c r="E33" i="2" s="1"/>
  <c r="I33" i="2" s="1"/>
  <c r="G33" i="2" s="1"/>
  <c r="J32" i="9" l="1"/>
  <c r="D32" i="9"/>
  <c r="D32" i="2"/>
  <c r="M8" i="1" l="1"/>
  <c r="M7" i="1"/>
  <c r="J39" i="1" l="1"/>
  <c r="B32" i="9"/>
  <c r="E32" i="9" s="1"/>
  <c r="K32" i="9" s="1"/>
  <c r="G32" i="9" s="1"/>
  <c r="I32" i="9" s="1"/>
  <c r="B32" i="2"/>
  <c r="E32" i="2" s="1"/>
  <c r="I32" i="2" s="1"/>
  <c r="G32" i="2" s="1"/>
  <c r="D31" i="9"/>
  <c r="D31" i="2"/>
  <c r="J31" i="9" l="1"/>
  <c r="G38" i="1" l="1"/>
  <c r="G41" i="1" s="1"/>
  <c r="L41" i="1" l="1"/>
  <c r="J38" i="1" l="1"/>
  <c r="J41" i="1" s="1"/>
  <c r="B21" i="3"/>
  <c r="E21" i="3" s="1"/>
  <c r="B8" i="3"/>
  <c r="E8" i="3" s="1"/>
  <c r="K8" i="3" s="1"/>
  <c r="B8" i="2"/>
  <c r="E8" i="2" s="1"/>
  <c r="J8" i="2" s="1"/>
  <c r="I21" i="3" l="1"/>
  <c r="J21" i="3"/>
  <c r="B8" i="9"/>
  <c r="E8" i="9" s="1"/>
  <c r="L8" i="9" s="1"/>
  <c r="B11" i="9"/>
  <c r="B11" i="2"/>
  <c r="E14" i="1"/>
  <c r="B31" i="9" l="1"/>
  <c r="E31" i="9" s="1"/>
  <c r="K31" i="9" s="1"/>
  <c r="G31" i="9" s="1"/>
  <c r="I31" i="9" s="1"/>
  <c r="B31" i="2"/>
  <c r="E31" i="2" s="1"/>
  <c r="I31" i="2" s="1"/>
  <c r="G31" i="2" s="1"/>
  <c r="D30" i="9" l="1"/>
  <c r="D30" i="2"/>
  <c r="J30" i="9" l="1"/>
  <c r="G36" i="1" l="1"/>
  <c r="E41" i="1" l="1"/>
  <c r="H41" i="1" s="1"/>
  <c r="M41" i="1" s="1"/>
  <c r="K41" i="1" s="1"/>
  <c r="N33" i="1"/>
  <c r="E37" i="1" s="1"/>
  <c r="B30" i="9" l="1"/>
  <c r="E30" i="9" s="1"/>
  <c r="K30" i="9" s="1"/>
  <c r="G30" i="9" s="1"/>
  <c r="I30" i="9" s="1"/>
  <c r="B30" i="2"/>
  <c r="E30" i="2" s="1"/>
  <c r="I30" i="2" s="1"/>
  <c r="G30" i="2" s="1"/>
  <c r="J36" i="1"/>
  <c r="J29" i="9" l="1"/>
  <c r="D29" i="9"/>
  <c r="D29" i="2"/>
  <c r="G35" i="1"/>
  <c r="J35" i="1"/>
  <c r="J34" i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J37" i="1" l="1"/>
  <c r="G29" i="9"/>
  <c r="I29" i="9" s="1"/>
  <c r="G37" i="1"/>
  <c r="H37" i="1" s="1"/>
  <c r="M37" i="1" s="1"/>
  <c r="D28" i="9"/>
  <c r="L37" i="1"/>
  <c r="K37" i="1" l="1"/>
  <c r="B28" i="9"/>
  <c r="E28" i="9" s="1"/>
  <c r="K28" i="9" s="1"/>
  <c r="G28" i="9" s="1"/>
  <c r="I28" i="9" s="1"/>
  <c r="B28" i="2"/>
  <c r="E28" i="2" s="1"/>
  <c r="I28" i="2" s="1"/>
  <c r="G28" i="2" s="1"/>
  <c r="N26" i="1"/>
  <c r="F33" i="1"/>
  <c r="B27" i="9" l="1"/>
  <c r="E27" i="9" s="1"/>
  <c r="K27" i="9" s="1"/>
  <c r="G27" i="9" s="1"/>
  <c r="I27" i="9" s="1"/>
  <c r="B27" i="2"/>
  <c r="E27" i="2" s="1"/>
  <c r="I27" i="2" s="1"/>
  <c r="G27" i="2" s="1"/>
  <c r="B26" i="9" l="1"/>
  <c r="E26" i="9" s="1"/>
  <c r="K26" i="9" s="1"/>
  <c r="G26" i="9" s="1"/>
  <c r="I26" i="9" s="1"/>
  <c r="B26" i="2"/>
  <c r="E26" i="2" l="1"/>
  <c r="I26" i="2" s="1"/>
  <c r="G26" i="2" s="1"/>
  <c r="L6" i="1"/>
  <c r="G33" i="1"/>
  <c r="G42" i="1" s="1"/>
  <c r="L33" i="1"/>
  <c r="L42" i="1" s="1"/>
  <c r="E33" i="4" l="1"/>
  <c r="J33" i="1"/>
  <c r="J42" i="1" s="1"/>
  <c r="L6" i="9" l="1"/>
  <c r="J6" i="9"/>
  <c r="H23" i="9"/>
  <c r="D6" i="9"/>
  <c r="C23" i="9"/>
  <c r="B22" i="9"/>
  <c r="E22" i="9" s="1"/>
  <c r="K22" i="9" s="1"/>
  <c r="J6" i="2"/>
  <c r="B22" i="2"/>
  <c r="E22" i="2" s="1"/>
  <c r="I22" i="2" s="1"/>
  <c r="G22" i="2" s="1"/>
  <c r="C23" i="2"/>
  <c r="C6" i="2" s="1"/>
  <c r="C6" i="9" l="1"/>
  <c r="G22" i="9"/>
  <c r="I22" i="9" s="1"/>
  <c r="B48" i="6" l="1"/>
  <c r="B48" i="5"/>
  <c r="B47" i="4"/>
  <c r="B50" i="3"/>
  <c r="B36" i="9"/>
  <c r="B36" i="2"/>
  <c r="B45" i="1"/>
  <c r="F14" i="1" l="1"/>
  <c r="G33" i="4" l="1"/>
  <c r="F33" i="4"/>
  <c r="D33" i="4"/>
  <c r="C33" i="4"/>
  <c r="B33" i="4"/>
  <c r="E26" i="1"/>
  <c r="F27" i="1"/>
  <c r="E33" i="1"/>
  <c r="B21" i="2"/>
  <c r="E21" i="2" s="1"/>
  <c r="I21" i="2" s="1"/>
  <c r="G21" i="2" s="1"/>
  <c r="B21" i="9"/>
  <c r="E21" i="9" s="1"/>
  <c r="K21" i="9" s="1"/>
  <c r="H33" i="1" l="1"/>
  <c r="M33" i="1" s="1"/>
  <c r="F6" i="1"/>
  <c r="H27" i="1"/>
  <c r="N6" i="1"/>
  <c r="E7" i="1" s="1"/>
  <c r="G21" i="9"/>
  <c r="K33" i="1" l="1"/>
  <c r="I21" i="9"/>
  <c r="B20" i="9" l="1"/>
  <c r="E20" i="9" s="1"/>
  <c r="K20" i="9" s="1"/>
  <c r="G20" i="9" s="1"/>
  <c r="I20" i="9" s="1"/>
  <c r="B20" i="2"/>
  <c r="E20" i="2" s="1"/>
  <c r="I20" i="2" s="1"/>
  <c r="G20" i="2" s="1"/>
  <c r="D45" i="3" l="1"/>
  <c r="H6" i="2" l="1"/>
  <c r="D13" i="2"/>
  <c r="D12" i="2"/>
  <c r="D6" i="2" l="1"/>
  <c r="D12" i="9"/>
  <c r="D11" i="9"/>
  <c r="J12" i="9" l="1"/>
  <c r="G26" i="1" l="1"/>
  <c r="G15" i="1"/>
  <c r="G13" i="1"/>
  <c r="G12" i="1"/>
  <c r="L26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E46" i="3" s="1"/>
  <c r="H46" i="3" s="1"/>
  <c r="O46" i="3" s="1"/>
  <c r="B32" i="3"/>
  <c r="E32" i="3" s="1"/>
  <c r="B20" i="3"/>
  <c r="E20" i="3" s="1"/>
  <c r="B7" i="3"/>
  <c r="E7" i="3" s="1"/>
  <c r="B7" i="9"/>
  <c r="E7" i="9" s="1"/>
  <c r="B7" i="2"/>
  <c r="E7" i="2" s="1"/>
  <c r="D7" i="1"/>
  <c r="B16" i="9"/>
  <c r="B16" i="2"/>
  <c r="E16" i="2" s="1"/>
  <c r="I16" i="2" s="1"/>
  <c r="L22" i="1"/>
  <c r="J22" i="1"/>
  <c r="G22" i="1"/>
  <c r="H22" i="1" s="1"/>
  <c r="I20" i="3" l="1"/>
  <c r="H7" i="1"/>
  <c r="N7" i="1" s="1"/>
  <c r="E8" i="1" s="1"/>
  <c r="H8" i="1" s="1"/>
  <c r="N8" i="1" s="1"/>
  <c r="M22" i="1"/>
  <c r="K22" i="1" s="1"/>
  <c r="E16" i="9"/>
  <c r="K16" i="9" s="1"/>
  <c r="G16" i="9" s="1"/>
  <c r="I16" i="9" s="1"/>
  <c r="G16" i="2"/>
  <c r="B15" i="9"/>
  <c r="B15" i="2"/>
  <c r="E18" i="1"/>
  <c r="E15" i="9" l="1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6" i="9" s="1"/>
  <c r="E11" i="2"/>
  <c r="I11" i="2" s="1"/>
  <c r="E23" i="2"/>
  <c r="E6" i="2" s="1"/>
  <c r="G11" i="9" l="1"/>
  <c r="K23" i="9"/>
  <c r="G11" i="2"/>
  <c r="G23" i="2" s="1"/>
  <c r="G6" i="2" s="1"/>
  <c r="I23" i="2"/>
  <c r="I6" i="2" s="1"/>
  <c r="L14" i="1"/>
  <c r="G14" i="1"/>
  <c r="I11" i="9" l="1"/>
  <c r="I23" i="9" s="1"/>
  <c r="G23" i="9"/>
  <c r="G6" i="1"/>
  <c r="H14" i="1"/>
  <c r="M14" i="1" s="1"/>
  <c r="M27" i="1" s="1"/>
  <c r="J11" i="1"/>
  <c r="J14" i="1" s="1"/>
  <c r="J27" i="1" l="1"/>
  <c r="J6" i="1" s="1"/>
  <c r="K14" i="1"/>
  <c r="K27" i="1" s="1"/>
  <c r="D44" i="3" l="1"/>
  <c r="D6" i="1"/>
  <c r="K6" i="9" l="1"/>
  <c r="G6" i="9" s="1"/>
  <c r="I6" i="9" s="1"/>
  <c r="E6" i="3" l="1"/>
  <c r="J6" i="3" s="1"/>
  <c r="I6" i="3" s="1"/>
  <c r="E19" i="3"/>
  <c r="G19" i="3" s="1"/>
  <c r="I19" i="3" s="1"/>
  <c r="H44" i="3"/>
  <c r="N44" i="3" s="1"/>
  <c r="L44" i="3" s="1"/>
  <c r="E31" i="3" l="1"/>
  <c r="I31" i="3" s="1"/>
  <c r="G31" i="3" s="1"/>
  <c r="H6" i="1" l="1"/>
  <c r="M6" i="1" l="1"/>
  <c r="K6" i="1" s="1"/>
  <c r="N46" i="3" l="1"/>
  <c r="B33" i="3" l="1"/>
  <c r="E33" i="3" s="1"/>
  <c r="J33" i="3" s="1"/>
</calcChain>
</file>

<file path=xl/sharedStrings.xml><?xml version="1.0" encoding="utf-8"?>
<sst xmlns="http://schemas.openxmlformats.org/spreadsheetml/2006/main" count="579" uniqueCount="199">
  <si>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</si>
  <si>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</si>
  <si>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</si>
  <si>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</si>
  <si>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</si>
  <si>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</si>
  <si>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</si>
  <si>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</si>
  <si>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</si>
  <si>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</si>
  <si>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</si>
  <si>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</si>
  <si>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</si>
  <si>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</si>
  <si>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</si>
  <si>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</si>
  <si>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</si>
  <si>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</si>
  <si>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</si>
  <si>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</si>
  <si>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</si>
  <si>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</si>
  <si>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</si>
  <si>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</si>
  <si>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</si>
  <si>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</si>
  <si>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</si>
  <si>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</si>
  <si>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</si>
  <si>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</si>
  <si>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</si>
  <si>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</si>
  <si>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</si>
  <si>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</si>
  <si>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</si>
  <si>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</si>
  <si>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</si>
  <si>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2021/22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</si>
  <si>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</si>
  <si>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</si>
  <si>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</si>
  <si>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</si>
  <si>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</si>
  <si>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</si>
  <si>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</si>
  <si>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</si>
  <si>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</si>
  <si>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</si>
  <si>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</si>
  <si>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</si>
  <si>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</si>
  <si>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</si>
  <si>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</si>
  <si>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</si>
  <si>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</si>
  <si>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</si>
  <si>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</si>
  <si>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</si>
  <si>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</si>
  <si>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</si>
  <si>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</si>
  <si>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</si>
  <si>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</si>
  <si>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</si>
  <si>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</si>
  <si>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</si>
  <si>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</si>
  <si>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</si>
  <si>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</si>
  <si>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</si>
  <si>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</si>
  <si>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</si>
  <si>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</si>
  <si>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</si>
  <si>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</si>
  <si>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</si>
  <si>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</si>
  <si>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</si>
  <si>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</si>
  <si>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</si>
  <si>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</si>
  <si>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</si>
  <si>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</si>
  <si>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</si>
  <si>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</si>
  <si>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</si>
  <si>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</si>
  <si>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</si>
  <si>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</si>
  <si>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</si>
  <si>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</si>
  <si>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</si>
  <si>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</si>
  <si>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</si>
  <si>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</si>
  <si>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</si>
  <si>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</si>
  <si>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</si>
  <si>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</si>
  <si>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</si>
  <si>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</si>
  <si>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</si>
  <si>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</si>
  <si>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</si>
  <si>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</si>
  <si>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</si>
  <si>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</si>
  <si>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</si>
  <si>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</si>
  <si>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</si>
  <si>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</si>
  <si>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</si>
  <si>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</si>
  <si>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</si>
  <si>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</si>
  <si>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</si>
  <si>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</si>
  <si>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</si>
  <si>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</si>
  <si>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</si>
  <si>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</si>
  <si>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</si>
  <si>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</si>
  <si>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</si>
  <si>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</si>
  <si>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</si>
  <si>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</si>
  <si>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</si>
  <si>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</si>
  <si>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</si>
  <si>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</si>
  <si>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</si>
  <si>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</si>
  <si>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</si>
  <si>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</si>
  <si>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</si>
  <si>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</si>
  <si>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</si>
  <si>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</si>
  <si>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</si>
  <si>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</si>
  <si>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</si>
  <si>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</si>
  <si>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</si>
  <si>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</si>
  <si>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</si>
  <si>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</si>
  <si>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</si>
  <si>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</si>
  <si>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</si>
  <si>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</si>
  <si>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</si>
  <si>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</si>
  <si>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</si>
  <si>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r>
      <t>2023/24</t>
    </r>
    <r>
      <rPr>
        <vertAlign val="superscript"/>
        <sz val="11"/>
        <rFont val="Arial"/>
        <family val="2"/>
      </rPr>
      <t>2</t>
    </r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</si>
  <si>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</si>
  <si>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</si>
  <si>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7</t>
    </r>
  </si>
  <si>
    <t>Date</t>
  </si>
  <si>
    <t>China</t>
  </si>
  <si>
    <t>World 2021/22</t>
  </si>
  <si>
    <t>China 2021/22</t>
  </si>
  <si>
    <t>World 2022/23</t>
  </si>
  <si>
    <t>China 2022/23</t>
  </si>
  <si>
    <t>2023/24</t>
  </si>
  <si>
    <t>Oct.</t>
  </si>
  <si>
    <t>Nov.</t>
  </si>
  <si>
    <t>Dec.</t>
  </si>
  <si>
    <t>Jan..</t>
  </si>
  <si>
    <t>Feb.</t>
  </si>
  <si>
    <t>Mar.</t>
  </si>
  <si>
    <t>Apr.</t>
  </si>
  <si>
    <t>Jun.</t>
  </si>
  <si>
    <t>Jul.</t>
  </si>
  <si>
    <t>Aug.</t>
  </si>
  <si>
    <t>Sep.</t>
  </si>
  <si>
    <t>2023/24*June</t>
  </si>
  <si>
    <t>2023/24* July</t>
  </si>
  <si>
    <t>Unknown</t>
  </si>
  <si>
    <t>Known</t>
  </si>
  <si>
    <t>Ending stocks</t>
  </si>
  <si>
    <t>Arkansas</t>
  </si>
  <si>
    <t>Illinois</t>
  </si>
  <si>
    <t>Indiana</t>
  </si>
  <si>
    <t>Iowa</t>
  </si>
  <si>
    <t>Kansas</t>
  </si>
  <si>
    <t>Louisiana</t>
  </si>
  <si>
    <t>Michigan</t>
  </si>
  <si>
    <t>Minnesota</t>
  </si>
  <si>
    <t>Mississippi</t>
  </si>
  <si>
    <t>Missouri</t>
  </si>
  <si>
    <t>Nebraska</t>
  </si>
  <si>
    <t>North Carolina</t>
  </si>
  <si>
    <t>North Dakota</t>
  </si>
  <si>
    <t>Ohio</t>
  </si>
  <si>
    <t>Other States</t>
  </si>
  <si>
    <t>Wisconsin</t>
  </si>
  <si>
    <t>Change from March Intentions to June Acreage in thousand acres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</si>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</sst>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"/>
    <numFmt numFmtId="176" formatCode="0.0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9" fillId="0" borderId="0"/>
    <xf numFmtId="0" fontId="29" fillId="0" borderId="0"/>
    <xf numFmtId="0" fontId="29" fillId="0" borderId="0"/>
    <xf numFmtId="0" fontId="40" fillId="0" borderId="0"/>
    <xf numFmtId="9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42" fillId="0" borderId="0"/>
    <xf numFmtId="0" fontId="27" fillId="0" borderId="0"/>
    <xf numFmtId="0" fontId="26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4" fontId="28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74">
    <xf numFmtId="0" fontId="0" fillId="0" borderId="0" xfId="0"/>
    <xf numFmtId="0" fontId="29" fillId="0" borderId="0" xfId="8"/>
    <xf numFmtId="0" fontId="30" fillId="0" borderId="0" xfId="8" applyFont="1"/>
    <xf numFmtId="0" fontId="35" fillId="0" borderId="0" xfId="8" applyFont="1"/>
    <xf numFmtId="0" fontId="36" fillId="0" borderId="0" xfId="8" applyFont="1"/>
    <xf numFmtId="169" fontId="37" fillId="0" borderId="0" xfId="1" applyNumberFormat="1" applyFont="1" applyFill="1" applyBorder="1" applyAlignment="1">
      <alignment horizontal="center"/>
    </xf>
    <xf numFmtId="169" fontId="37" fillId="0" borderId="0" xfId="1" applyNumberFormat="1" applyFont="1" applyFill="1" applyBorder="1" applyAlignment="1">
      <alignment horizontal="right" indent="1"/>
    </xf>
    <xf numFmtId="0" fontId="43" fillId="0" borderId="0" xfId="7" applyFont="1" applyAlignment="1">
      <alignment horizontal="left"/>
    </xf>
    <xf numFmtId="0" fontId="44" fillId="0" borderId="0" xfId="5" applyFont="1" applyAlignment="1" applyProtection="1"/>
    <xf numFmtId="14" fontId="43" fillId="0" borderId="0" xfId="7" applyNumberFormat="1" applyFont="1" applyAlignment="1">
      <alignment horizontal="left"/>
    </xf>
    <xf numFmtId="0" fontId="44" fillId="0" borderId="0" xfId="4" applyFont="1" applyAlignment="1" applyProtection="1"/>
    <xf numFmtId="0" fontId="37" fillId="0" borderId="0" xfId="7" quotePrefix="1" applyFont="1" applyAlignment="1">
      <alignment horizontal="left"/>
    </xf>
    <xf numFmtId="0" fontId="37" fillId="0" borderId="0" xfId="8" applyFont="1" applyAlignment="1">
      <alignment wrapText="1"/>
    </xf>
    <xf numFmtId="169" fontId="37" fillId="0" borderId="0" xfId="1" applyNumberFormat="1" applyFont="1" applyFill="1" applyBorder="1" applyAlignment="1">
      <alignment horizontal="right"/>
    </xf>
    <xf numFmtId="2" fontId="37" fillId="0" borderId="1" xfId="0" applyNumberFormat="1" applyFont="1" applyBorder="1" applyAlignment="1">
      <alignment horizontal="right" indent="2"/>
    </xf>
    <xf numFmtId="0" fontId="37" fillId="0" borderId="1" xfId="0" applyFont="1" applyBorder="1"/>
    <xf numFmtId="0" fontId="37" fillId="0" borderId="0" xfId="0" applyFont="1"/>
    <xf numFmtId="0" fontId="37" fillId="0" borderId="2" xfId="0" applyFont="1" applyBorder="1" applyAlignment="1">
      <alignment horizontal="right"/>
    </xf>
    <xf numFmtId="0" fontId="37" fillId="0" borderId="0" xfId="0" applyFont="1" applyAlignment="1">
      <alignment horizontal="center"/>
    </xf>
    <xf numFmtId="0" fontId="0" fillId="0" borderId="2" xfId="0" applyBorder="1"/>
    <xf numFmtId="0" fontId="37" fillId="0" borderId="2" xfId="0" applyFont="1" applyBorder="1" applyAlignment="1">
      <alignment horizontal="left"/>
    </xf>
    <xf numFmtId="0" fontId="37" fillId="0" borderId="0" xfId="0" applyFont="1" applyAlignment="1">
      <alignment horizontal="right"/>
    </xf>
    <xf numFmtId="16" fontId="37" fillId="0" borderId="1" xfId="0" quotePrefix="1" applyNumberFormat="1" applyFont="1" applyBorder="1"/>
    <xf numFmtId="16" fontId="37" fillId="0" borderId="1" xfId="0" applyNumberFormat="1" applyFont="1" applyBorder="1"/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right"/>
    </xf>
    <xf numFmtId="0" fontId="3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38" fillId="0" borderId="3" xfId="0" quotePrefix="1" applyFont="1" applyBorder="1" applyAlignment="1">
      <alignment horizontal="center"/>
    </xf>
    <xf numFmtId="0" fontId="38" fillId="0" borderId="0" xfId="0" quotePrefix="1" applyFont="1" applyAlignment="1">
      <alignment horizontal="right"/>
    </xf>
    <xf numFmtId="167" fontId="37" fillId="0" borderId="0" xfId="0" applyNumberFormat="1" applyFont="1" applyAlignment="1">
      <alignment horizontal="center"/>
    </xf>
    <xf numFmtId="165" fontId="37" fillId="0" borderId="0" xfId="1" applyNumberFormat="1" applyFont="1" applyFill="1" applyAlignment="1">
      <alignment horizontal="left"/>
    </xf>
    <xf numFmtId="165" fontId="37" fillId="0" borderId="0" xfId="1" applyNumberFormat="1" applyFont="1" applyFill="1" applyAlignment="1">
      <alignment horizontal="center"/>
    </xf>
    <xf numFmtId="3" fontId="37" fillId="0" borderId="0" xfId="1" applyNumberFormat="1" applyFont="1" applyFill="1" applyBorder="1" applyAlignment="1">
      <alignment horizontal="right" indent="1"/>
    </xf>
    <xf numFmtId="164" fontId="37" fillId="0" borderId="0" xfId="1" applyNumberFormat="1" applyFont="1" applyFill="1" applyBorder="1"/>
    <xf numFmtId="164" fontId="37" fillId="0" borderId="0" xfId="1" applyNumberFormat="1" applyFont="1" applyFill="1" applyBorder="1" applyAlignment="1">
      <alignment horizontal="right"/>
    </xf>
    <xf numFmtId="0" fontId="43" fillId="0" borderId="0" xfId="0" applyFont="1"/>
    <xf numFmtId="169" fontId="37" fillId="0" borderId="0" xfId="1" quotePrefix="1" applyNumberFormat="1" applyFont="1" applyFill="1" applyBorder="1" applyAlignment="1">
      <alignment horizontal="right"/>
    </xf>
    <xf numFmtId="164" fontId="37" fillId="0" borderId="0" xfId="1" applyNumberFormat="1" applyFont="1" applyFill="1" applyBorder="1" applyAlignment="1">
      <alignment horizontal="center"/>
    </xf>
    <xf numFmtId="164" fontId="37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9" fontId="37" fillId="0" borderId="1" xfId="1" applyNumberFormat="1" applyFont="1" applyFill="1" applyBorder="1" applyAlignment="1">
      <alignment horizontal="right" indent="1"/>
    </xf>
    <xf numFmtId="164" fontId="37" fillId="0" borderId="0" xfId="1" applyNumberFormat="1" applyFont="1" applyFill="1"/>
    <xf numFmtId="14" fontId="37" fillId="0" borderId="0" xfId="0" applyNumberFormat="1" applyFont="1" applyAlignment="1">
      <alignment horizontal="left"/>
    </xf>
    <xf numFmtId="3" fontId="37" fillId="0" borderId="0" xfId="1" applyNumberFormat="1" applyFont="1" applyFill="1" applyAlignment="1">
      <alignment horizontal="right" indent="2"/>
    </xf>
    <xf numFmtId="3" fontId="37" fillId="0" borderId="0" xfId="1" applyNumberFormat="1" applyFont="1" applyFill="1" applyAlignment="1">
      <alignment horizontal="right" indent="1"/>
    </xf>
    <xf numFmtId="3" fontId="37" fillId="0" borderId="0" xfId="1" applyNumberFormat="1" applyFont="1" applyFill="1" applyAlignment="1">
      <alignment horizontal="center"/>
    </xf>
    <xf numFmtId="169" fontId="37" fillId="0" borderId="0" xfId="1" applyNumberFormat="1" applyFont="1" applyFill="1" applyBorder="1" applyAlignment="1">
      <alignment horizontal="right" indent="2"/>
    </xf>
    <xf numFmtId="169" fontId="37" fillId="0" borderId="1" xfId="1" applyNumberFormat="1" applyFont="1" applyFill="1" applyBorder="1" applyAlignment="1">
      <alignment horizontal="right" indent="2"/>
    </xf>
    <xf numFmtId="0" fontId="3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7" fillId="0" borderId="1" xfId="1" applyNumberFormat="1" applyFont="1" applyFill="1" applyBorder="1" applyAlignment="1">
      <alignment horizontal="center"/>
    </xf>
    <xf numFmtId="165" fontId="37" fillId="0" borderId="1" xfId="1" applyNumberFormat="1" applyFont="1" applyFill="1" applyBorder="1" applyAlignment="1">
      <alignment horizontal="right"/>
    </xf>
    <xf numFmtId="16" fontId="37" fillId="0" borderId="0" xfId="0" applyNumberFormat="1" applyFont="1"/>
    <xf numFmtId="0" fontId="38" fillId="0" borderId="0" xfId="0" applyFont="1" applyAlignment="1">
      <alignment horizontal="center"/>
    </xf>
    <xf numFmtId="2" fontId="37" fillId="0" borderId="0" xfId="0" applyNumberFormat="1" applyFont="1" applyAlignment="1">
      <alignment horizontal="right" indent="2"/>
    </xf>
    <xf numFmtId="170" fontId="37" fillId="0" borderId="0" xfId="0" applyNumberFormat="1" applyFont="1"/>
    <xf numFmtId="43" fontId="37" fillId="0" borderId="0" xfId="1" quotePrefix="1" applyFont="1" applyFill="1" applyBorder="1" applyAlignment="1">
      <alignment horizontal="center"/>
    </xf>
    <xf numFmtId="166" fontId="37" fillId="0" borderId="0" xfId="1" quotePrefix="1" applyNumberFormat="1" applyFont="1" applyFill="1" applyBorder="1" applyAlignment="1">
      <alignment horizontal="center"/>
    </xf>
    <xf numFmtId="43" fontId="37" fillId="0" borderId="0" xfId="1" applyFont="1" applyFill="1" applyBorder="1" applyAlignment="1">
      <alignment horizontal="center"/>
    </xf>
    <xf numFmtId="0" fontId="43" fillId="0" borderId="0" xfId="0" quotePrefix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indent="1"/>
    </xf>
    <xf numFmtId="0" fontId="37" fillId="0" borderId="3" xfId="0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38" fillId="0" borderId="3" xfId="0" quotePrefix="1" applyFont="1" applyBorder="1"/>
    <xf numFmtId="0" fontId="38" fillId="0" borderId="3" xfId="0" applyFont="1" applyBorder="1"/>
    <xf numFmtId="43" fontId="37" fillId="0" borderId="0" xfId="1" applyFont="1" applyFill="1" applyBorder="1"/>
    <xf numFmtId="2" fontId="37" fillId="0" borderId="0" xfId="0" applyNumberFormat="1" applyFont="1" applyAlignment="1">
      <alignment horizontal="center"/>
    </xf>
    <xf numFmtId="43" fontId="37" fillId="0" borderId="0" xfId="0" applyNumberFormat="1" applyFont="1"/>
    <xf numFmtId="0" fontId="32" fillId="0" borderId="0" xfId="0" applyFont="1"/>
    <xf numFmtId="2" fontId="0" fillId="0" borderId="0" xfId="0" applyNumberFormat="1"/>
    <xf numFmtId="165" fontId="3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41" fillId="0" borderId="0" xfId="0" applyFont="1" applyAlignment="1">
      <alignment vertical="center"/>
    </xf>
    <xf numFmtId="168" fontId="37" fillId="0" borderId="0" xfId="0" applyNumberFormat="1" applyFont="1"/>
    <xf numFmtId="2" fontId="3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37" fillId="0" borderId="3" xfId="0" applyFont="1" applyBorder="1"/>
    <xf numFmtId="165" fontId="37" fillId="0" borderId="0" xfId="1" applyNumberFormat="1" applyFont="1" applyFill="1"/>
    <xf numFmtId="37" fontId="37" fillId="0" borderId="0" xfId="1" applyNumberFormat="1" applyFont="1" applyFill="1" applyBorder="1" applyAlignment="1">
      <alignment horizontal="center"/>
    </xf>
    <xf numFmtId="37" fontId="37" fillId="0" borderId="0" xfId="1" applyNumberFormat="1" applyFont="1" applyFill="1" applyBorder="1" applyAlignment="1">
      <alignment horizontal="right" indent="2"/>
    </xf>
    <xf numFmtId="165" fontId="37" fillId="0" borderId="0" xfId="1" applyNumberFormat="1" applyFont="1" applyFill="1" applyBorder="1"/>
    <xf numFmtId="37" fontId="37" fillId="0" borderId="0" xfId="1" applyNumberFormat="1" applyFont="1" applyFill="1" applyBorder="1" applyAlignment="1">
      <alignment horizontal="right" indent="1"/>
    </xf>
    <xf numFmtId="37" fontId="37" fillId="0" borderId="1" xfId="1" applyNumberFormat="1" applyFont="1" applyFill="1" applyBorder="1" applyAlignment="1">
      <alignment horizontal="center"/>
    </xf>
    <xf numFmtId="37" fontId="37" fillId="0" borderId="1" xfId="1" applyNumberFormat="1" applyFont="1" applyFill="1" applyBorder="1" applyAlignment="1">
      <alignment horizontal="right" indent="2"/>
    </xf>
    <xf numFmtId="165" fontId="37" fillId="0" borderId="1" xfId="1" applyNumberFormat="1" applyFont="1" applyFill="1" applyBorder="1"/>
    <xf numFmtId="37" fontId="37" fillId="0" borderId="1" xfId="1" applyNumberFormat="1" applyFont="1" applyFill="1" applyBorder="1" applyAlignment="1">
      <alignment horizontal="right" indent="1"/>
    </xf>
    <xf numFmtId="9" fontId="37" fillId="0" borderId="0" xfId="12" applyFont="1" applyFill="1"/>
    <xf numFmtId="1" fontId="37" fillId="0" borderId="0" xfId="0" applyNumberFormat="1" applyFont="1" applyAlignment="1">
      <alignment horizontal="center"/>
    </xf>
    <xf numFmtId="1" fontId="37" fillId="0" borderId="1" xfId="0" applyNumberFormat="1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14" fontId="37" fillId="0" borderId="0" xfId="0" applyNumberFormat="1" applyFont="1" applyAlignment="1">
      <alignment horizontal="right" inden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3" fontId="0" fillId="0" borderId="0" xfId="0" applyNumberFormat="1"/>
    <xf numFmtId="169" fontId="37" fillId="0" borderId="0" xfId="1" applyNumberFormat="1" applyFont="1" applyFill="1" applyAlignment="1">
      <alignment horizontal="center"/>
    </xf>
    <xf numFmtId="0" fontId="39" fillId="0" borderId="3" xfId="0" applyFont="1" applyBorder="1"/>
    <xf numFmtId="164" fontId="37" fillId="0" borderId="3" xfId="0" applyNumberFormat="1" applyFont="1" applyBorder="1"/>
    <xf numFmtId="43" fontId="37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8" fillId="0" borderId="0" xfId="8" applyFont="1"/>
    <xf numFmtId="0" fontId="28" fillId="0" borderId="0" xfId="0" applyFont="1"/>
    <xf numFmtId="4" fontId="46" fillId="0" borderId="0" xfId="0" applyNumberFormat="1" applyFont="1"/>
    <xf numFmtId="0" fontId="28" fillId="0" borderId="0" xfId="0" applyFont="1" applyAlignment="1">
      <alignment horizontal="right"/>
    </xf>
    <xf numFmtId="2" fontId="28" fillId="0" borderId="0" xfId="0" applyNumberFormat="1" applyFont="1" applyAlignment="1">
      <alignment horizontal="right"/>
    </xf>
    <xf numFmtId="172" fontId="32" fillId="0" borderId="0" xfId="12" applyNumberFormat="1" applyFont="1" applyFill="1"/>
    <xf numFmtId="4" fontId="0" fillId="0" borderId="0" xfId="0" applyNumberFormat="1"/>
    <xf numFmtId="169" fontId="37" fillId="0" borderId="0" xfId="1" applyNumberFormat="1" applyFont="1" applyBorder="1" applyAlignment="1">
      <alignment horizontal="right" indent="1"/>
    </xf>
    <xf numFmtId="0" fontId="28" fillId="0" borderId="0" xfId="20"/>
    <xf numFmtId="37" fontId="0" fillId="0" borderId="0" xfId="0" applyNumberFormat="1"/>
    <xf numFmtId="173" fontId="46" fillId="0" borderId="0" xfId="0" applyNumberFormat="1" applyFont="1"/>
    <xf numFmtId="174" fontId="37" fillId="0" borderId="0" xfId="1" applyNumberFormat="1" applyFont="1" applyFill="1" applyBorder="1" applyAlignment="1">
      <alignment horizontal="right" indent="2"/>
    </xf>
    <xf numFmtId="0" fontId="47" fillId="0" borderId="0" xfId="44" applyFont="1" applyAlignment="1">
      <alignment horizontal="center"/>
    </xf>
    <xf numFmtId="164" fontId="37" fillId="2" borderId="0" xfId="1" applyNumberFormat="1" applyFont="1" applyFill="1" applyBorder="1" applyAlignment="1">
      <alignment horizontal="center"/>
    </xf>
    <xf numFmtId="0" fontId="48" fillId="0" borderId="1" xfId="46" applyFont="1" applyBorder="1" applyAlignment="1">
      <alignment horizontal="center" wrapText="1"/>
    </xf>
    <xf numFmtId="0" fontId="47" fillId="0" borderId="0" xfId="46" applyFont="1" applyAlignment="1">
      <alignment horizontal="center"/>
    </xf>
    <xf numFmtId="2" fontId="37" fillId="0" borderId="1" xfId="0" applyNumberFormat="1" applyFont="1" applyBorder="1" applyAlignment="1">
      <alignment horizontal="center"/>
    </xf>
    <xf numFmtId="2" fontId="45" fillId="0" borderId="0" xfId="0" applyNumberFormat="1" applyFont="1" applyAlignment="1">
      <alignment horizontal="center"/>
    </xf>
    <xf numFmtId="2" fontId="45" fillId="0" borderId="1" xfId="0" applyNumberFormat="1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47" fillId="0" borderId="0" xfId="46" applyFont="1" applyAlignment="1">
      <alignment horizontal="center" wrapText="1"/>
    </xf>
    <xf numFmtId="0" fontId="50" fillId="0" borderId="0" xfId="0" applyFont="1"/>
    <xf numFmtId="2" fontId="45" fillId="0" borderId="0" xfId="0" applyNumberFormat="1" applyFont="1" applyAlignment="1">
      <alignment horizontal="right" indent="2"/>
    </xf>
    <xf numFmtId="0" fontId="0" fillId="0" borderId="0" xfId="20" applyFont="1"/>
    <xf numFmtId="39" fontId="49" fillId="0" borderId="0" xfId="1" applyNumberFormat="1" applyFont="1" applyFill="1" applyAlignment="1">
      <alignment horizontal="right"/>
    </xf>
    <xf numFmtId="39" fontId="28" fillId="0" borderId="0" xfId="20" applyNumberFormat="1"/>
    <xf numFmtId="0" fontId="0" fillId="0" borderId="0" xfId="0" quotePrefix="1"/>
    <xf numFmtId="0" fontId="35" fillId="0" borderId="0" xfId="20" applyFont="1" applyAlignment="1">
      <alignment wrapText="1"/>
    </xf>
    <xf numFmtId="14" fontId="0" fillId="0" borderId="0" xfId="20" applyNumberFormat="1" applyFont="1"/>
    <xf numFmtId="3" fontId="0" fillId="0" borderId="0" xfId="20" applyNumberFormat="1" applyFont="1" applyAlignment="1">
      <alignment horizontal="left"/>
    </xf>
    <xf numFmtId="165" fontId="0" fillId="0" borderId="0" xfId="20" applyNumberFormat="1" applyFont="1"/>
    <xf numFmtId="14" fontId="0" fillId="0" borderId="0" xfId="20" applyNumberFormat="1" applyFont="1" applyAlignment="1">
      <alignment horizontal="right"/>
    </xf>
    <xf numFmtId="169" fontId="45" fillId="0" borderId="0" xfId="1" applyNumberFormat="1" applyFont="1" applyFill="1" applyBorder="1" applyAlignment="1">
      <alignment horizontal="right"/>
    </xf>
    <xf numFmtId="0" fontId="35" fillId="0" borderId="0" xfId="20" applyFont="1"/>
    <xf numFmtId="170" fontId="0" fillId="0" borderId="0" xfId="0" applyNumberFormat="1"/>
    <xf numFmtId="175" fontId="46" fillId="0" borderId="0" xfId="0" applyNumberFormat="1" applyFont="1"/>
    <xf numFmtId="37" fontId="49" fillId="0" borderId="0" xfId="1" applyNumberFormat="1" applyFont="1" applyFill="1"/>
    <xf numFmtId="0" fontId="35" fillId="0" borderId="1" xfId="20" applyFont="1" applyBorder="1" applyAlignment="1">
      <alignment wrapText="1"/>
    </xf>
    <xf numFmtId="165" fontId="0" fillId="0" borderId="0" xfId="0" applyNumberFormat="1"/>
    <xf numFmtId="37" fontId="37" fillId="0" borderId="0" xfId="0" applyNumberFormat="1" applyFont="1" applyAlignment="1">
      <alignment vertical="center" wrapText="1"/>
    </xf>
    <xf numFmtId="0" fontId="28" fillId="0" borderId="0" xfId="0" quotePrefix="1" applyFont="1"/>
    <xf numFmtId="0" fontId="35" fillId="0" borderId="1" xfId="20" applyFont="1" applyBorder="1" applyAlignment="1">
      <alignment horizontal="left" wrapText="1"/>
    </xf>
    <xf numFmtId="3" fontId="28" fillId="0" borderId="0" xfId="20" applyNumberFormat="1"/>
    <xf numFmtId="0" fontId="28" fillId="0" borderId="0" xfId="20" quotePrefix="1"/>
    <xf numFmtId="176" fontId="0" fillId="0" borderId="0" xfId="0" applyNumberFormat="1"/>
    <xf numFmtId="4" fontId="28" fillId="0" borderId="0" xfId="20" applyNumberFormat="1"/>
    <xf numFmtId="167" fontId="47" fillId="0" borderId="0" xfId="46" applyNumberFormat="1" applyFont="1" applyAlignment="1">
      <alignment horizontal="right" wrapText="1"/>
    </xf>
    <xf numFmtId="167" fontId="49" fillId="0" borderId="0" xfId="1" applyNumberFormat="1" applyFont="1" applyFill="1" applyAlignment="1">
      <alignment horizontal="right"/>
    </xf>
    <xf numFmtId="1" fontId="0" fillId="0" borderId="0" xfId="0" applyNumberFormat="1"/>
    <xf numFmtId="0" fontId="49" fillId="0" borderId="0" xfId="1" applyNumberFormat="1" applyFont="1" applyFill="1"/>
    <xf numFmtId="0" fontId="49" fillId="0" borderId="0" xfId="1" applyNumberFormat="1" applyFont="1" applyFill="1" applyAlignment="1">
      <alignment horizontal="right"/>
    </xf>
    <xf numFmtId="3" fontId="45" fillId="0" borderId="0" xfId="1" applyNumberFormat="1" applyFont="1" applyFill="1" applyBorder="1" applyAlignment="1">
      <alignment horizontal="right" indent="1"/>
    </xf>
    <xf numFmtId="37" fontId="37" fillId="0" borderId="0" xfId="0" applyNumberFormat="1" applyFont="1"/>
    <xf numFmtId="164" fontId="0" fillId="0" borderId="0" xfId="20" applyNumberFormat="1" applyFont="1"/>
    <xf numFmtId="167" fontId="28" fillId="0" borderId="0" xfId="20" applyNumberFormat="1"/>
    <xf numFmtId="172" fontId="50" fillId="0" borderId="0" xfId="12" applyNumberFormat="1" applyFont="1"/>
    <xf numFmtId="172" fontId="28" fillId="0" borderId="0" xfId="12" applyNumberFormat="1"/>
    <xf numFmtId="0" fontId="47" fillId="0" borderId="0" xfId="46" applyFont="1" applyAlignment="1">
      <alignment horizontal="left" wrapText="1"/>
    </xf>
    <xf numFmtId="0" fontId="47" fillId="0" borderId="0" xfId="46" applyFont="1" applyAlignment="1">
      <alignment horizontal="left"/>
    </xf>
    <xf numFmtId="0" fontId="47" fillId="0" borderId="0" xfId="44" applyFont="1" applyAlignment="1">
      <alignment horizontal="left"/>
    </xf>
    <xf numFmtId="0" fontId="28" fillId="0" borderId="0" xfId="20" applyAlignment="1">
      <alignment horizontal="left"/>
    </xf>
    <xf numFmtId="0" fontId="37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2" xfId="0" quotePrefix="1" applyFont="1" applyBorder="1" applyAlignment="1">
      <alignment horizontal="center"/>
    </xf>
    <xf numFmtId="0" fontId="38" fillId="0" borderId="5" xfId="0" quotePrefix="1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5" xfId="0" applyFont="1" applyBorder="1" applyAlignment="1">
      <alignment horizontal="center"/>
    </xf>
  </cellXfs>
  <cellStyles count="67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3" xfId="61" xr:uid="{66B0EFF1-9B5C-4010-8FFD-B7EBF2B47072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1" xfId="62" xr:uid="{E3FE90C6-7CCC-48DA-835F-769A18F811F8}"/>
    <cellStyle name="Normal 11 12" xfId="66" xr:uid="{24A271D4-02AB-41AD-A39D-32AAEBED943C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3" xfId="32" xr:uid="{5440E113-77DF-4DAD-9026-4858CCB03DB9}"/>
    <cellStyle name="Normal 11 3 2" xfId="43" xr:uid="{8321DB1C-E877-443D-8A22-A2E591665B8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A6400"/>
      <color rgb="FFFFCF01"/>
      <color rgb="FFFFFF00"/>
      <color rgb="FF00B050"/>
      <color rgb="FF984807"/>
      <color rgb="FF95B3D7"/>
      <color rgb="FFC0504D"/>
      <color rgb="FFC0502F"/>
      <color rgb="FFD996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acreage changes from March planting intentions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2.1643200948295643E-3"/>
          <c:y val="2.29277980877390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5141354734654"/>
          <c:y val="0.14976324749946798"/>
          <c:w val="0.84882487402203377"/>
          <c:h val="0.60271799851032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Change from March Intentions to June Acreage in thousand acres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90490D-4DA9-44C3-B552-BA1F2E9645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909-4D4D-BFBA-F013FAF9F8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F5BB9FD-48C2-4DA1-AB74-82E739449E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909-4D4D-BFBA-F013FAF9F84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98BC20C-5603-47F5-966F-6DC90FAA81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909-4D4D-BFBA-F013FAF9F8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AF3BA7-141F-4E80-AF65-AE21F11EF7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909-4D4D-BFBA-F013FAF9F84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694FA0-8C1F-40C3-B70B-0C8BA80748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909-4D4D-BFBA-F013FAF9F84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30CC52A-F472-42AF-878C-F6211E12BB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909-4D4D-BFBA-F013FAF9F84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819CFA-CFCA-4A96-A200-2F6FDBBB95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909-4D4D-BFBA-F013FAF9F84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C99CCEB-734A-40B7-9025-F7F66C9F9D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909-4D4D-BFBA-F013FAF9F84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F450AC-5820-40C1-AE63-B13D9E7831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909-4D4D-BFBA-F013FAF9F84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ABA3CC3-99D3-4ADC-B83D-85850456DF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909-4D4D-BFBA-F013FAF9F84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3A68EA7-8E03-41B3-9B9A-BB9F398E68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909-4D4D-BFBA-F013FAF9F84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803AFBE-6573-4A73-A7DB-FFCB6BD7E9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909-4D4D-BFBA-F013FAF9F84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AAAA420-18DB-4089-A89E-1E0EC4CCA1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909-4D4D-BFBA-F013FAF9F84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9DEA4F9-020B-4CFD-8338-FBCBC4C02F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0909-4D4D-BFBA-F013FAF9F84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F7A59C-411A-4ED5-B976-D66E8C4998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0909-4D4D-BFBA-F013FAF9F84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FACA3D0-A542-4204-A11B-F6A78AB145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909-4D4D-BFBA-F013FAF9F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'Figure 1'!$A$2:$A$17</c:f>
              <c:strCache>
                <c:ptCount val="16"/>
                <c:pt idx="0">
                  <c:v>Arkansas</c:v>
                </c:pt>
                <c:pt idx="1">
                  <c:v>Illinois</c:v>
                </c:pt>
                <c:pt idx="2">
                  <c:v>Indiana</c:v>
                </c:pt>
                <c:pt idx="3">
                  <c:v>Iowa</c:v>
                </c:pt>
                <c:pt idx="4">
                  <c:v>Kansas</c:v>
                </c:pt>
                <c:pt idx="5">
                  <c:v>Louisiana</c:v>
                </c:pt>
                <c:pt idx="6">
                  <c:v>Michigan</c:v>
                </c:pt>
                <c:pt idx="7">
                  <c:v>Minnesota</c:v>
                </c:pt>
                <c:pt idx="8">
                  <c:v>Mississippi</c:v>
                </c:pt>
                <c:pt idx="9">
                  <c:v>Missouri</c:v>
                </c:pt>
                <c:pt idx="10">
                  <c:v>Nebraska</c:v>
                </c:pt>
                <c:pt idx="11">
                  <c:v>North Carolina</c:v>
                </c:pt>
                <c:pt idx="12">
                  <c:v>North Dakota</c:v>
                </c:pt>
                <c:pt idx="13">
                  <c:v>Ohio</c:v>
                </c:pt>
                <c:pt idx="14">
                  <c:v>Other States</c:v>
                </c:pt>
                <c:pt idx="15">
                  <c:v>Wisconsin</c:v>
                </c:pt>
              </c:strCache>
            </c:strRef>
          </c:cat>
          <c:val>
            <c:numRef>
              <c:f>'Figure 1'!$B$2:$B$17</c:f>
              <c:numCache>
                <c:formatCode>General</c:formatCode>
                <c:ptCount val="16"/>
                <c:pt idx="0">
                  <c:v>-150</c:v>
                </c:pt>
                <c:pt idx="1">
                  <c:v>-800</c:v>
                </c:pt>
                <c:pt idx="2">
                  <c:v>-100</c:v>
                </c:pt>
                <c:pt idx="3">
                  <c:v>-400</c:v>
                </c:pt>
                <c:pt idx="4">
                  <c:v>-350</c:v>
                </c:pt>
                <c:pt idx="5">
                  <c:v>-50</c:v>
                </c:pt>
                <c:pt idx="6">
                  <c:v>-50</c:v>
                </c:pt>
                <c:pt idx="7">
                  <c:v>-50</c:v>
                </c:pt>
                <c:pt idx="8">
                  <c:v>-50</c:v>
                </c:pt>
                <c:pt idx="9">
                  <c:v>-400</c:v>
                </c:pt>
                <c:pt idx="10">
                  <c:v>-250</c:v>
                </c:pt>
                <c:pt idx="11">
                  <c:v>-100</c:v>
                </c:pt>
                <c:pt idx="12">
                  <c:v>-900</c:v>
                </c:pt>
                <c:pt idx="13">
                  <c:v>-200</c:v>
                </c:pt>
                <c:pt idx="14">
                  <c:v>50</c:v>
                </c:pt>
                <c:pt idx="15">
                  <c:v>-200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1'!$A$2:$A$17</c15:f>
                <c15:dlblRangeCache>
                  <c:ptCount val="16"/>
                  <c:pt idx="0">
                    <c:v>Arkansas</c:v>
                  </c:pt>
                  <c:pt idx="1">
                    <c:v>Illinois</c:v>
                  </c:pt>
                  <c:pt idx="2">
                    <c:v>Indiana</c:v>
                  </c:pt>
                  <c:pt idx="3">
                    <c:v>Iowa</c:v>
                  </c:pt>
                  <c:pt idx="4">
                    <c:v>Kansas</c:v>
                  </c:pt>
                  <c:pt idx="5">
                    <c:v>Louisiana</c:v>
                  </c:pt>
                  <c:pt idx="6">
                    <c:v>Michigan</c:v>
                  </c:pt>
                  <c:pt idx="7">
                    <c:v>Minnesota</c:v>
                  </c:pt>
                  <c:pt idx="8">
                    <c:v>Mississippi</c:v>
                  </c:pt>
                  <c:pt idx="9">
                    <c:v>Missouri</c:v>
                  </c:pt>
                  <c:pt idx="10">
                    <c:v>Nebraska</c:v>
                  </c:pt>
                  <c:pt idx="11">
                    <c:v>North Carolina</c:v>
                  </c:pt>
                  <c:pt idx="12">
                    <c:v>North Dakota</c:v>
                  </c:pt>
                  <c:pt idx="13">
                    <c:v>Ohio</c:v>
                  </c:pt>
                  <c:pt idx="14">
                    <c:v>Other States</c:v>
                  </c:pt>
                  <c:pt idx="15">
                    <c:v>Wisconsin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FCC-4D64-BB99-673DE8B79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Thousand acres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1475299404358829"/>
              <c:y val="0.79399637250532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new crop outstanding sales end of June 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197891482202706E-2"/>
          <c:y val="0.18385885380170947"/>
          <c:w val="0.87303941398006257"/>
          <c:h val="0.51762193925734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2'!$C$1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'Figure 2'!$C$2:$C$13</c:f>
              <c:numCache>
                <c:formatCode>0</c:formatCode>
                <c:ptCount val="12"/>
                <c:pt idx="0">
                  <c:v>359.77597529369996</c:v>
                </c:pt>
                <c:pt idx="1">
                  <c:v>361.28243025</c:v>
                </c:pt>
                <c:pt idx="2">
                  <c:v>230.58508935</c:v>
                </c:pt>
                <c:pt idx="3">
                  <c:v>89.470909500000005</c:v>
                </c:pt>
                <c:pt idx="4">
                  <c:v>114.67708769999999</c:v>
                </c:pt>
                <c:pt idx="5">
                  <c:v>42.659435699999996</c:v>
                </c:pt>
                <c:pt idx="6">
                  <c:v>51.147230399999991</c:v>
                </c:pt>
                <c:pt idx="7">
                  <c:v>4.6297062000000002</c:v>
                </c:pt>
                <c:pt idx="8">
                  <c:v>148.2608295</c:v>
                </c:pt>
                <c:pt idx="9">
                  <c:v>151.75148099999998</c:v>
                </c:pt>
                <c:pt idx="10">
                  <c:v>285.31483049999991</c:v>
                </c:pt>
                <c:pt idx="11">
                  <c:v>63.272651399999994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C-4EF2-9237-ACCA9CFAC032}"/>
            </c:ext>
          </c:extLst>
        </c:ser>
        <c:ser>
          <c:idx val="1"/>
          <c:order val="1"/>
          <c:tx>
            <c:strRef>
              <c:f>'Figure 2'!$B$1</c:f>
              <c:strCache>
                <c:ptCount val="1"/>
                <c:pt idx="0">
                  <c:v>Known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'Figure 2'!$B$2:$B$13</c:f>
              <c:numCache>
                <c:formatCode>0.0</c:formatCode>
                <c:ptCount val="12"/>
                <c:pt idx="0">
                  <c:v>22.4142448992</c:v>
                </c:pt>
                <c:pt idx="1">
                  <c:v>25.791652315799993</c:v>
                </c:pt>
                <c:pt idx="2">
                  <c:v>41.972328509999954</c:v>
                </c:pt>
                <c:pt idx="3">
                  <c:v>33.212483455199973</c:v>
                </c:pt>
                <c:pt idx="4">
                  <c:v>51.766802669399979</c:v>
                </c:pt>
                <c:pt idx="5">
                  <c:v>33.832496649000014</c:v>
                </c:pt>
                <c:pt idx="6">
                  <c:v>97.597440141600032</c:v>
                </c:pt>
                <c:pt idx="7">
                  <c:v>49.013486997299992</c:v>
                </c:pt>
                <c:pt idx="8">
                  <c:v>34.163704360800011</c:v>
                </c:pt>
                <c:pt idx="9">
                  <c:v>68.034340970399981</c:v>
                </c:pt>
                <c:pt idx="10">
                  <c:v>82.381653509400024</c:v>
                </c:pt>
                <c:pt idx="11">
                  <c:v>35.180218821300016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C-4EF2-9237-ACCA9CFAC032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</c:strCache>
            </c:strRef>
          </c:cat>
          <c:val>
            <c:numRef>
              <c:f>'Figure 2'!$D$2:$D$13</c:f>
              <c:numCache>
                <c:formatCode>0</c:formatCode>
                <c:ptCount val="12"/>
                <c:pt idx="0">
                  <c:v>126.82088054999998</c:v>
                </c:pt>
                <c:pt idx="1">
                  <c:v>64.926117899999994</c:v>
                </c:pt>
                <c:pt idx="2">
                  <c:v>138.82872171</c:v>
                </c:pt>
                <c:pt idx="3">
                  <c:v>103.04035791</c:v>
                </c:pt>
                <c:pt idx="4">
                  <c:v>112.75289361839999</c:v>
                </c:pt>
                <c:pt idx="5">
                  <c:v>52.690465799999991</c:v>
                </c:pt>
                <c:pt idx="6">
                  <c:v>144.54971579999997</c:v>
                </c:pt>
                <c:pt idx="7">
                  <c:v>37.331599199999999</c:v>
                </c:pt>
                <c:pt idx="8">
                  <c:v>72.458576399999998</c:v>
                </c:pt>
                <c:pt idx="9">
                  <c:v>125.52750231</c:v>
                </c:pt>
                <c:pt idx="10">
                  <c:v>137.07604721999999</c:v>
                </c:pt>
                <c:pt idx="11">
                  <c:v>46.480780499999995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B-4293-A21B-56FB7A9B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191334506125804"/>
              <c:y val="0.83396047264503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Brazil's soybean exports spurred by shipments to China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566466618635018E-2"/>
          <c:y val="0.24715500201500704"/>
          <c:w val="0.8604161893433051"/>
          <c:h val="0.5270740684253957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'Figure 3'!$D$1</c:f>
              <c:strCache>
                <c:ptCount val="1"/>
                <c:pt idx="0">
                  <c:v>World 2022/23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3'!$D$2:$D$13</c:f>
              <c:numCache>
                <c:formatCode>#,##0</c:formatCode>
                <c:ptCount val="12"/>
                <c:pt idx="0">
                  <c:v>3.7982324219999999</c:v>
                </c:pt>
                <c:pt idx="1">
                  <c:v>6.3231442100000006</c:v>
                </c:pt>
                <c:pt idx="2">
                  <c:v>8.2591043009999989</c:v>
                </c:pt>
                <c:pt idx="3">
                  <c:v>9.0986931040000005</c:v>
                </c:pt>
                <c:pt idx="4">
                  <c:v>14.121628692999998</c:v>
                </c:pt>
                <c:pt idx="5">
                  <c:v>27.363024927999998</c:v>
                </c:pt>
                <c:pt idx="6">
                  <c:v>41.699489407999998</c:v>
                </c:pt>
                <c:pt idx="7">
                  <c:v>57.285254159999994</c:v>
                </c:pt>
                <c:pt idx="8">
                  <c:v>71.057590899999994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7-47F3-8B75-6D4B5D49F1AD}"/>
            </c:ext>
          </c:extLst>
        </c:ser>
        <c:ser>
          <c:idx val="4"/>
          <c:order val="2"/>
          <c:tx>
            <c:strRef>
              <c:f>'Figure 3'!$E$1</c:f>
              <c:strCache>
                <c:ptCount val="1"/>
                <c:pt idx="0">
                  <c:v>China 2022/23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3'!$E$2:$E$13</c:f>
              <c:numCache>
                <c:formatCode>#,##0</c:formatCode>
                <c:ptCount val="12"/>
                <c:pt idx="0">
                  <c:v>3.0281642040000003</c:v>
                </c:pt>
                <c:pt idx="1">
                  <c:v>5.076933285</c:v>
                </c:pt>
                <c:pt idx="2">
                  <c:v>6.3573694810000001</c:v>
                </c:pt>
                <c:pt idx="3">
                  <c:v>6.8670470469999998</c:v>
                </c:pt>
                <c:pt idx="4">
                  <c:v>10.356176308</c:v>
                </c:pt>
                <c:pt idx="5">
                  <c:v>20.398217999</c:v>
                </c:pt>
                <c:pt idx="6">
                  <c:v>30.454712273000002</c:v>
                </c:pt>
                <c:pt idx="7">
                  <c:v>40.716824641000002</c:v>
                </c:pt>
                <c:pt idx="8">
                  <c:v>49.906051837999996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7-47F3-8B75-6D4B5D49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World 2021/22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3'!$A$2:$A$13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3'!$B$2:$B$13</c:f>
              <c:numCache>
                <c:formatCode>#,##0</c:formatCode>
                <c:ptCount val="12"/>
                <c:pt idx="0">
                  <c:v>3.2929422709999998</c:v>
                </c:pt>
                <c:pt idx="1">
                  <c:v>5.8800816560000007</c:v>
                </c:pt>
                <c:pt idx="2">
                  <c:v>8.5917219899999999</c:v>
                </c:pt>
                <c:pt idx="3">
                  <c:v>11.043786466</c:v>
                </c:pt>
                <c:pt idx="4">
                  <c:v>17.315099159999999</c:v>
                </c:pt>
                <c:pt idx="5">
                  <c:v>29.505984554999994</c:v>
                </c:pt>
                <c:pt idx="6">
                  <c:v>40.978561672999994</c:v>
                </c:pt>
                <c:pt idx="7">
                  <c:v>51.619032273999998</c:v>
                </c:pt>
                <c:pt idx="8">
                  <c:v>61.608877897999996</c:v>
                </c:pt>
                <c:pt idx="9">
                  <c:v>69.115092273999991</c:v>
                </c:pt>
                <c:pt idx="10">
                  <c:v>75.060330207999996</c:v>
                </c:pt>
                <c:pt idx="11">
                  <c:v>79.062741722000013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67-47F3-8B75-6D4B5D49F1AD}"/>
            </c:ext>
          </c:extLst>
        </c:ser>
        <c:ser>
          <c:idx val="2"/>
          <c:order val="3"/>
          <c:tx>
            <c:strRef>
              <c:f>'Figure 3'!$C$1</c:f>
              <c:strCache>
                <c:ptCount val="1"/>
                <c:pt idx="0">
                  <c:v>China 2021/22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3'!$A$2:$A$13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3'!$C$2:$C$13</c:f>
              <c:numCache>
                <c:formatCode>#,##0</c:formatCode>
                <c:ptCount val="12"/>
                <c:pt idx="0">
                  <c:v>2.6361082169999999</c:v>
                </c:pt>
                <c:pt idx="1">
                  <c:v>4.8654221560000002</c:v>
                </c:pt>
                <c:pt idx="2">
                  <c:v>6.9474957590000006</c:v>
                </c:pt>
                <c:pt idx="3">
                  <c:v>8.9129974670000003</c:v>
                </c:pt>
                <c:pt idx="4">
                  <c:v>13.227617362</c:v>
                </c:pt>
                <c:pt idx="5">
                  <c:v>21.701134947</c:v>
                </c:pt>
                <c:pt idx="6">
                  <c:v>29.227167486999999</c:v>
                </c:pt>
                <c:pt idx="7">
                  <c:v>35.688771543999998</c:v>
                </c:pt>
                <c:pt idx="8">
                  <c:v>42.155786573</c:v>
                </c:pt>
                <c:pt idx="9">
                  <c:v>47.338087285999997</c:v>
                </c:pt>
                <c:pt idx="10">
                  <c:v>51.670004443999993</c:v>
                </c:pt>
                <c:pt idx="11">
                  <c:v>54.205827821999989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67-47F3-8B75-6D4B5D49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9812504206204999"/>
              <c:y val="0.86655550409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metric</a:t>
                </a: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652903609676736"/>
          <c:y val="0.1325470597563205"/>
          <c:w val="0.65313801817580108"/>
          <c:h val="0.10343197609060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sunflowerseed distribution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5010607699597E-3"/>
          <c:y val="9.50348901662123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55736124038823E-2"/>
          <c:y val="0.24983409137502943"/>
          <c:w val="0.85834888849756397"/>
          <c:h val="0.478454151765262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F01"/>
            </a:solidFill>
            <a:ln>
              <a:noFill/>
            </a:ln>
            <a:effectLst/>
          </c:spPr>
          <c:invertIfNegative val="0"/>
          <c:cat>
            <c:strRef>
              <c:f>'Figure 4'!$A$2:$A$14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2023/24*June</c:v>
                </c:pt>
                <c:pt idx="12">
                  <c:v>2023/24* July</c:v>
                </c:pt>
              </c:strCache>
            </c:strRef>
          </c:cat>
          <c:val>
            <c:numRef>
              <c:f>'Figure 4'!$B$2:$B$14</c:f>
              <c:numCache>
                <c:formatCode>#,##0.0</c:formatCode>
                <c:ptCount val="13"/>
                <c:pt idx="0">
                  <c:v>34.981000000000002</c:v>
                </c:pt>
                <c:pt idx="1">
                  <c:v>41.570999999999998</c:v>
                </c:pt>
                <c:pt idx="2">
                  <c:v>39.290999999999997</c:v>
                </c:pt>
                <c:pt idx="3">
                  <c:v>40.755000000000003</c:v>
                </c:pt>
                <c:pt idx="4">
                  <c:v>48.395000000000003</c:v>
                </c:pt>
                <c:pt idx="5">
                  <c:v>48.012</c:v>
                </c:pt>
                <c:pt idx="6">
                  <c:v>50.414999999999999</c:v>
                </c:pt>
                <c:pt idx="7">
                  <c:v>53.895000000000003</c:v>
                </c:pt>
                <c:pt idx="8">
                  <c:v>48.947000000000003</c:v>
                </c:pt>
                <c:pt idx="9">
                  <c:v>56.953000000000003</c:v>
                </c:pt>
                <c:pt idx="10">
                  <c:v>53.024999999999999</c:v>
                </c:pt>
                <c:pt idx="11">
                  <c:v>54.01</c:v>
                </c:pt>
                <c:pt idx="12">
                  <c:v>54.691000000000003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7-4E94-9E18-53EDD9A7D915}"/>
            </c:ext>
          </c:extLst>
        </c:ser>
        <c:ser>
          <c:idx val="2"/>
          <c:order val="1"/>
          <c:tx>
            <c:strRef>
              <c:f>'Figure 4'!$D$1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2023/24*June</c:v>
                </c:pt>
                <c:pt idx="12">
                  <c:v>2023/24* July</c:v>
                </c:pt>
              </c:strCache>
            </c:strRef>
          </c:cat>
          <c:val>
            <c:numRef>
              <c:f>'Figure 4'!$D$2:$D$14</c:f>
              <c:numCache>
                <c:formatCode>#,##0.0</c:formatCode>
                <c:ptCount val="13"/>
                <c:pt idx="0">
                  <c:v>30.846</c:v>
                </c:pt>
                <c:pt idx="1">
                  <c:v>37.015000000000001</c:v>
                </c:pt>
                <c:pt idx="2">
                  <c:v>35.704000000000001</c:v>
                </c:pt>
                <c:pt idx="3">
                  <c:v>36.695</c:v>
                </c:pt>
                <c:pt idx="4">
                  <c:v>43.378</c:v>
                </c:pt>
                <c:pt idx="5">
                  <c:v>44.216999999999999</c:v>
                </c:pt>
                <c:pt idx="6">
                  <c:v>46.57</c:v>
                </c:pt>
                <c:pt idx="7">
                  <c:v>49.484999999999999</c:v>
                </c:pt>
                <c:pt idx="8">
                  <c:v>45.063000000000002</c:v>
                </c:pt>
                <c:pt idx="9">
                  <c:v>46.835999999999999</c:v>
                </c:pt>
                <c:pt idx="10">
                  <c:v>49.89</c:v>
                </c:pt>
                <c:pt idx="11">
                  <c:v>49.52</c:v>
                </c:pt>
                <c:pt idx="12">
                  <c:v>50.37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0"/>
          <c:order val="2"/>
          <c:tx>
            <c:strRef>
              <c:f>'Figure 4'!$C$1</c:f>
              <c:strCache>
                <c:ptCount val="1"/>
                <c:pt idx="0">
                  <c:v>Exports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2023/24*June</c:v>
                </c:pt>
                <c:pt idx="12">
                  <c:v>2023/24* July</c:v>
                </c:pt>
              </c:strCache>
            </c:strRef>
          </c:cat>
          <c:val>
            <c:numRef>
              <c:f>'Figure 4'!$C$2:$C$14</c:f>
              <c:numCache>
                <c:formatCode>#,##0.00</c:formatCode>
                <c:ptCount val="13"/>
                <c:pt idx="0">
                  <c:v>1.466</c:v>
                </c:pt>
                <c:pt idx="1">
                  <c:v>2.0110000000000001</c:v>
                </c:pt>
                <c:pt idx="2">
                  <c:v>1.675</c:v>
                </c:pt>
                <c:pt idx="3">
                  <c:v>2.1320000000000001</c:v>
                </c:pt>
                <c:pt idx="4">
                  <c:v>2.6829999999999998</c:v>
                </c:pt>
                <c:pt idx="5">
                  <c:v>2.7559999999999998</c:v>
                </c:pt>
                <c:pt idx="6">
                  <c:v>3.2130000000000001</c:v>
                </c:pt>
                <c:pt idx="7">
                  <c:v>3.6869999999999998</c:v>
                </c:pt>
                <c:pt idx="8">
                  <c:v>2.9</c:v>
                </c:pt>
                <c:pt idx="9">
                  <c:v>3.911</c:v>
                </c:pt>
                <c:pt idx="10">
                  <c:v>4.7699999999999996</c:v>
                </c:pt>
                <c:pt idx="11">
                  <c:v>3.6429999999999998</c:v>
                </c:pt>
                <c:pt idx="12">
                  <c:v>3.7429999999999999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7-4E94-9E18-53EDD9A7D915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Ending stocks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2023/24*June</c:v>
                </c:pt>
                <c:pt idx="12">
                  <c:v>2023/24* July</c:v>
                </c:pt>
              </c:strCache>
            </c:strRef>
          </c:cat>
          <c:val>
            <c:numRef>
              <c:f>'Figure 4'!$E$2:$E$14</c:f>
              <c:numCache>
                <c:formatCode>_(* #,##0.0_);_(* \(#,##0.0\);_(* "-"??_);_(@_)</c:formatCode>
                <c:ptCount val="13"/>
                <c:pt idx="0">
                  <c:v>2.794</c:v>
                </c:pt>
                <c:pt idx="1">
                  <c:v>3.3250000000000002</c:v>
                </c:pt>
                <c:pt idx="2">
                  <c:v>2.972</c:v>
                </c:pt>
                <c:pt idx="3">
                  <c:v>2.9460000000000002</c:v>
                </c:pt>
                <c:pt idx="4">
                  <c:v>3.665</c:v>
                </c:pt>
                <c:pt idx="5">
                  <c:v>3.0979999999999999</c:v>
                </c:pt>
                <c:pt idx="6">
                  <c:v>2.7770000000000001</c:v>
                </c:pt>
                <c:pt idx="7">
                  <c:v>2.8809999999999998</c:v>
                </c:pt>
                <c:pt idx="8">
                  <c:v>2.4590000000000001</c:v>
                </c:pt>
                <c:pt idx="9">
                  <c:v>7.8920000000000003</c:v>
                </c:pt>
                <c:pt idx="10">
                  <c:v>5.6139999999999999</c:v>
                </c:pt>
                <c:pt idx="11">
                  <c:v>3.94</c:v>
                </c:pt>
                <c:pt idx="12">
                  <c:v>4.6459999999999999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8-4C8C-95DB-8AB5B4A3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379776"/>
        <c:axId val="859383616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259691580086037"/>
              <c:y val="0.8585144913780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in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metric tons</a:t>
                </a:r>
              </a:p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0" i="0" baseline="0">
                    <a:effectLst/>
                  </a:rPr>
                  <a:t>(production and crush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358481547634022E-2"/>
              <c:y val="0.10297471253894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3"/>
      </c:valAx>
      <c:valAx>
        <c:axId val="8593836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  <a:p>
                <a:pPr>
                  <a:defRPr/>
                </a:pPr>
                <a:r>
                  <a:rPr lang="en-US" sz="900" baseline="0"/>
                  <a:t>(exports and ending stocks)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1791196119642129"/>
              <c:y val="8.95382411476185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9379776"/>
        <c:crosses val="max"/>
        <c:crossBetween val="between"/>
      </c:valAx>
      <c:catAx>
        <c:axId val="85937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9383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254953753783971"/>
          <c:y val="0.19365143243304811"/>
          <c:w val="0.66728635757590993"/>
          <c:h val="6.0911371131646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207644</xdr:colOff>
      <xdr:row>0</xdr:row>
      <xdr:rowOff>190500</xdr:rowOff>
    </xdr:from>
    <xdr:to>
      <xdr:col>13</xdr:col>
      <xdr:colOff>266700</xdr:colOff>
      <xdr:row>16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5EDA1B-6302-4EFF-B069-5CF717CAF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0.89865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053840"/>
          <a:ext cx="6383656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calculation using USDA, 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</a:t>
          </a:r>
          <a:r>
            <a:rPr lang="en-U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Prospective Planting and Acreage data.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0</xdr:row>
      <xdr:rowOff>45721</xdr:rowOff>
    </xdr:from>
    <xdr:to>
      <xdr:col>16</xdr:col>
      <xdr:colOff>45720</xdr:colOff>
      <xdr:row>21</xdr:row>
      <xdr:rowOff>83820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B5733D9-9587-460D-AE5F-104EA64A8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0.89571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37559"/>
          <a:ext cx="6377940" cy="388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Export Sales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584729</xdr:colOff>
      <xdr:row>0</xdr:row>
      <xdr:rowOff>85195</xdr:rowOff>
    </xdr:from>
    <xdr:to>
      <xdr:col>15</xdr:col>
      <xdr:colOff>389995</xdr:colOff>
      <xdr:row>22</xdr:row>
      <xdr:rowOff>150812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3D2428C6-3FA2-42F0-8694-8AB7A9F70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0.92344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657072"/>
          <a:ext cx="6070599" cy="303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Brazil's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Ministry of Development, Industry, and Trade data.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495298</xdr:colOff>
      <xdr:row>0</xdr:row>
      <xdr:rowOff>137160</xdr:rowOff>
    </xdr:from>
    <xdr:to>
      <xdr:col>15</xdr:col>
      <xdr:colOff>361948</xdr:colOff>
      <xdr:row>23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16443-B20A-4F00-B816-48F6B5CC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0.89296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28060"/>
          <a:ext cx="5962650" cy="422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 x14ac:dyDescent="0.25"/>
  <cols>
    <col min="1" max="1" width="166.88671875" style="12" customWidth="1"/>
    <col min="2" max="16384" width="9.6640625" style="1"/>
  </cols>
  <sheetData>
    <row r="1" spans="1:3" x14ac:dyDescent="0.25">
      <c r="A1" s="7" t="s">
        <v>0</v>
      </c>
      <c r="B1" s="105"/>
      <c r="C1" s="105"/>
    </row>
    <row r="2" spans="1:3" s="2" customFormat="1" x14ac:dyDescent="0.25">
      <c r="A2" s="8"/>
    </row>
    <row r="3" spans="1:3" x14ac:dyDescent="0.25">
      <c r="A3" s="10" t="s">
        <v>1</v>
      </c>
      <c r="B3" s="3"/>
      <c r="C3" s="2"/>
    </row>
    <row r="4" spans="1:3" x14ac:dyDescent="0.25">
      <c r="A4" s="10" t="s">
        <v>2</v>
      </c>
      <c r="B4" s="4"/>
      <c r="C4" s="105"/>
    </row>
    <row r="5" spans="1:3" x14ac:dyDescent="0.25">
      <c r="A5" s="10" t="s">
        <v>3</v>
      </c>
      <c r="B5" s="4"/>
      <c r="C5" s="105"/>
    </row>
    <row r="6" spans="1:3" x14ac:dyDescent="0.25">
      <c r="A6" s="10" t="s">
        <v>4</v>
      </c>
      <c r="B6" s="4"/>
      <c r="C6" s="105"/>
    </row>
    <row r="7" spans="1:3" x14ac:dyDescent="0.25">
      <c r="A7" s="10" t="s">
        <v>5</v>
      </c>
      <c r="B7" s="4"/>
      <c r="C7" s="105"/>
    </row>
    <row r="8" spans="1:3" x14ac:dyDescent="0.25">
      <c r="A8" s="10" t="s">
        <v>6</v>
      </c>
      <c r="B8" s="4"/>
      <c r="C8" s="105"/>
    </row>
    <row r="9" spans="1:3" x14ac:dyDescent="0.25">
      <c r="A9" s="10" t="s">
        <v>7</v>
      </c>
      <c r="B9" s="4"/>
      <c r="C9" s="105"/>
    </row>
    <row r="10" spans="1:3" x14ac:dyDescent="0.25">
      <c r="A10" s="10" t="s">
        <v>8</v>
      </c>
      <c r="B10" s="4"/>
      <c r="C10" s="105"/>
    </row>
    <row r="11" spans="1:3" x14ac:dyDescent="0.25">
      <c r="A11" s="10" t="s">
        <v>9</v>
      </c>
      <c r="B11" s="4"/>
      <c r="C11" s="105"/>
    </row>
    <row r="12" spans="1:3" x14ac:dyDescent="0.25">
      <c r="A12" s="10" t="s">
        <v>10</v>
      </c>
      <c r="B12" s="4"/>
      <c r="C12" s="105"/>
    </row>
    <row r="13" spans="1:3" x14ac:dyDescent="0.25">
      <c r="A13" s="11" t="s">
        <v>11</v>
      </c>
      <c r="B13" s="4"/>
      <c r="C13" s="105"/>
    </row>
    <row r="14" spans="1:3" ht="13.2" x14ac:dyDescent="0.25">
      <c r="A14" s="105"/>
      <c r="B14" s="105"/>
      <c r="C14" s="105"/>
    </row>
    <row r="15" spans="1:3" x14ac:dyDescent="0.25">
      <c r="A15" s="7" t="s">
        <v>12</v>
      </c>
      <c r="B15" s="105"/>
      <c r="C15" s="105"/>
    </row>
    <row r="16" spans="1:3" x14ac:dyDescent="0.25">
      <c r="A16" s="9">
        <v>45121</v>
      </c>
      <c r="B16" s="105"/>
      <c r="C16" s="10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ABA5-FF6A-4C66-8593-900333E12A84}">
  <dimension ref="A1:E29"/>
  <sheetViews>
    <sheetView zoomScaleNormal="100" workbookViewId="0"/>
  </sheetViews>
  <sheetFormatPr defaultColWidth="9.109375" defaultRowHeight="13.2" x14ac:dyDescent="0.25"/>
  <cols>
    <col min="1" max="1" width="12.6640625" style="113" bestFit="1" customWidth="1"/>
    <col min="2" max="2" width="12.88671875" style="113" customWidth="1"/>
    <col min="5" max="16384" width="9.109375" style="113"/>
  </cols>
  <sheetData>
    <row r="1" spans="1:5" ht="26.4" x14ac:dyDescent="0.25">
      <c r="A1" s="119" t="s">
        <v>148</v>
      </c>
      <c r="B1" s="119" t="s">
        <v>179</v>
      </c>
      <c r="C1" s="119" t="s">
        <v>159</v>
      </c>
      <c r="D1" s="119" t="s">
        <v>178</v>
      </c>
    </row>
    <row r="2" spans="1:5" x14ac:dyDescent="0.25">
      <c r="A2" s="126" t="s">
        <v>107</v>
      </c>
      <c r="B2" s="152">
        <v>22.4142448992</v>
      </c>
      <c r="C2" s="154">
        <v>359.77597529369996</v>
      </c>
      <c r="D2" s="154">
        <v>126.82088054999998</v>
      </c>
    </row>
    <row r="3" spans="1:5" x14ac:dyDescent="0.25">
      <c r="A3" s="126" t="s">
        <v>108</v>
      </c>
      <c r="B3" s="152">
        <v>25.791652315799993</v>
      </c>
      <c r="C3" s="154">
        <v>361.28243025</v>
      </c>
      <c r="D3" s="154">
        <v>64.926117899999994</v>
      </c>
    </row>
    <row r="4" spans="1:5" x14ac:dyDescent="0.25">
      <c r="A4" s="126" t="s">
        <v>109</v>
      </c>
      <c r="B4" s="153">
        <v>41.972328509999954</v>
      </c>
      <c r="C4" s="154">
        <v>230.58508935</v>
      </c>
      <c r="D4" s="154">
        <v>138.82872171</v>
      </c>
    </row>
    <row r="5" spans="1:5" x14ac:dyDescent="0.25">
      <c r="A5" s="126" t="s">
        <v>110</v>
      </c>
      <c r="B5" s="153">
        <v>33.212483455199973</v>
      </c>
      <c r="C5" s="154">
        <v>89.470909500000005</v>
      </c>
      <c r="D5" s="154">
        <v>103.04035791</v>
      </c>
    </row>
    <row r="6" spans="1:5" x14ac:dyDescent="0.25">
      <c r="A6" s="120" t="s">
        <v>111</v>
      </c>
      <c r="B6" s="153">
        <v>51.766802669399979</v>
      </c>
      <c r="C6" s="154">
        <v>114.67708769999999</v>
      </c>
      <c r="D6" s="154">
        <v>112.75289361839999</v>
      </c>
    </row>
    <row r="7" spans="1:5" x14ac:dyDescent="0.25">
      <c r="A7" s="120" t="s">
        <v>112</v>
      </c>
      <c r="B7" s="153">
        <v>33.832496649000014</v>
      </c>
      <c r="C7" s="154">
        <v>42.659435699999996</v>
      </c>
      <c r="D7" s="154">
        <v>52.690465799999991</v>
      </c>
    </row>
    <row r="8" spans="1:5" x14ac:dyDescent="0.25">
      <c r="A8" s="120" t="s">
        <v>113</v>
      </c>
      <c r="B8" s="153">
        <v>97.597440141600032</v>
      </c>
      <c r="C8" s="154">
        <v>51.147230399999991</v>
      </c>
      <c r="D8" s="154">
        <v>144.54971579999997</v>
      </c>
      <c r="E8" s="160"/>
    </row>
    <row r="9" spans="1:5" x14ac:dyDescent="0.25">
      <c r="A9" s="120" t="s">
        <v>114</v>
      </c>
      <c r="B9" s="153">
        <v>49.013486997299992</v>
      </c>
      <c r="C9" s="154">
        <v>4.6297062000000002</v>
      </c>
      <c r="D9" s="154">
        <v>37.331599199999999</v>
      </c>
      <c r="E9" s="160"/>
    </row>
    <row r="10" spans="1:5" x14ac:dyDescent="0.25">
      <c r="A10" s="120" t="s">
        <v>34</v>
      </c>
      <c r="B10" s="153">
        <v>34.163704360800011</v>
      </c>
      <c r="C10" s="154">
        <v>148.2608295</v>
      </c>
      <c r="D10" s="154">
        <v>72.458576399999998</v>
      </c>
      <c r="E10" s="160"/>
    </row>
    <row r="11" spans="1:5" x14ac:dyDescent="0.25">
      <c r="A11" s="117" t="s">
        <v>37</v>
      </c>
      <c r="B11" s="153">
        <v>68.034340970399981</v>
      </c>
      <c r="C11" s="154">
        <v>151.75148099999998</v>
      </c>
      <c r="D11" s="154">
        <v>125.52750231</v>
      </c>
      <c r="E11" s="160"/>
    </row>
    <row r="12" spans="1:5" x14ac:dyDescent="0.25">
      <c r="A12" s="117" t="s">
        <v>54</v>
      </c>
      <c r="B12" s="153">
        <v>82.381653509400024</v>
      </c>
      <c r="C12" s="154">
        <v>285.31483049999991</v>
      </c>
      <c r="D12" s="154">
        <v>137.07604721999999</v>
      </c>
      <c r="E12" s="160"/>
    </row>
    <row r="13" spans="1:5" x14ac:dyDescent="0.25">
      <c r="A13" s="117" t="s">
        <v>164</v>
      </c>
      <c r="B13" s="153">
        <v>35.180218821300016</v>
      </c>
      <c r="C13" s="154">
        <v>63.272651399999994</v>
      </c>
      <c r="D13" s="154">
        <v>46.480780499999995</v>
      </c>
      <c r="E13" s="160"/>
    </row>
    <row r="14" spans="1:5" x14ac:dyDescent="0.25">
      <c r="B14" s="153"/>
      <c r="C14" s="154"/>
      <c r="D14" s="154"/>
    </row>
    <row r="15" spans="1:5" x14ac:dyDescent="0.25">
      <c r="B15" s="142"/>
      <c r="C15" s="114"/>
      <c r="D15" s="114"/>
      <c r="E15" s="162"/>
    </row>
    <row r="16" spans="1:5" x14ac:dyDescent="0.25">
      <c r="B16" s="130"/>
    </row>
    <row r="17" spans="1:5" x14ac:dyDescent="0.25">
      <c r="B17" s="130"/>
    </row>
    <row r="18" spans="1:5" x14ac:dyDescent="0.25">
      <c r="B18" s="130"/>
      <c r="D18" s="106"/>
      <c r="E18" s="161"/>
    </row>
    <row r="19" spans="1:5" x14ac:dyDescent="0.25">
      <c r="B19" s="130"/>
    </row>
    <row r="20" spans="1:5" x14ac:dyDescent="0.25">
      <c r="B20" s="130"/>
    </row>
    <row r="21" spans="1:5" x14ac:dyDescent="0.25">
      <c r="B21" s="130"/>
    </row>
    <row r="22" spans="1:5" x14ac:dyDescent="0.25">
      <c r="B22" s="130"/>
    </row>
    <row r="23" spans="1:5" customFormat="1" x14ac:dyDescent="0.25">
      <c r="A23" s="113"/>
      <c r="B23" s="130"/>
    </row>
    <row r="24" spans="1:5" customFormat="1" x14ac:dyDescent="0.25">
      <c r="A24" s="113"/>
      <c r="B24" s="130"/>
    </row>
    <row r="25" spans="1:5" customFormat="1" x14ac:dyDescent="0.25">
      <c r="A25" s="113"/>
      <c r="B25" s="130"/>
    </row>
    <row r="26" spans="1:5" customFormat="1" x14ac:dyDescent="0.25">
      <c r="A26" s="113"/>
      <c r="B26" s="130"/>
    </row>
    <row r="27" spans="1:5" customFormat="1" x14ac:dyDescent="0.25">
      <c r="A27" s="113"/>
      <c r="B27" s="130"/>
    </row>
    <row r="28" spans="1:5" customFormat="1" x14ac:dyDescent="0.25">
      <c r="A28" s="113"/>
      <c r="B28" s="130"/>
    </row>
    <row r="29" spans="1:5" customFormat="1" x14ac:dyDescent="0.25">
      <c r="A29" s="113"/>
      <c r="B29" s="130"/>
    </row>
  </sheetData>
  <phoneticPr fontId="3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0EFB-794C-4C4C-B3FE-8A5DE8CA148C}">
  <dimension ref="A1:E28"/>
  <sheetViews>
    <sheetView zoomScale="90" zoomScaleNormal="90" workbookViewId="0"/>
  </sheetViews>
  <sheetFormatPr defaultColWidth="9.109375" defaultRowHeight="13.2" x14ac:dyDescent="0.25"/>
  <cols>
    <col min="1" max="1" width="9.109375" style="113"/>
    <col min="2" max="2" width="10.33203125" style="113" customWidth="1"/>
    <col min="3" max="3" width="8" style="113" customWidth="1"/>
    <col min="4" max="4" width="9.109375" style="113"/>
    <col min="5" max="5" width="9.6640625" style="113" customWidth="1"/>
    <col min="6" max="16384" width="9.109375" style="113"/>
  </cols>
  <sheetData>
    <row r="1" spans="1:5" ht="26.4" x14ac:dyDescent="0.25">
      <c r="A1" s="139" t="s">
        <v>158</v>
      </c>
      <c r="B1" s="133" t="s">
        <v>160</v>
      </c>
      <c r="C1" s="133" t="s">
        <v>161</v>
      </c>
      <c r="D1" s="133" t="s">
        <v>162</v>
      </c>
      <c r="E1" s="133" t="s">
        <v>163</v>
      </c>
    </row>
    <row r="2" spans="1:5" x14ac:dyDescent="0.25">
      <c r="A2" s="149" t="s">
        <v>165</v>
      </c>
      <c r="B2" s="148">
        <v>3.2929422709999998</v>
      </c>
      <c r="C2" s="148">
        <v>2.6361082169999999</v>
      </c>
      <c r="D2" s="148">
        <v>3.7982324219999999</v>
      </c>
      <c r="E2" s="148">
        <v>3.0281642040000003</v>
      </c>
    </row>
    <row r="3" spans="1:5" x14ac:dyDescent="0.25">
      <c r="A3" s="149" t="s">
        <v>166</v>
      </c>
      <c r="B3" s="148">
        <v>5.8800816560000007</v>
      </c>
      <c r="C3" s="148">
        <v>4.8654221560000002</v>
      </c>
      <c r="D3" s="148">
        <v>6.3231442100000006</v>
      </c>
      <c r="E3" s="148">
        <v>5.076933285</v>
      </c>
    </row>
    <row r="4" spans="1:5" x14ac:dyDescent="0.25">
      <c r="A4" s="149" t="s">
        <v>167</v>
      </c>
      <c r="B4" s="148">
        <v>8.5917219899999999</v>
      </c>
      <c r="C4" s="148">
        <v>6.9474957590000006</v>
      </c>
      <c r="D4" s="148">
        <v>8.2591043009999989</v>
      </c>
      <c r="E4" s="148">
        <v>6.3573694810000001</v>
      </c>
    </row>
    <row r="5" spans="1:5" x14ac:dyDescent="0.25">
      <c r="A5" s="149" t="s">
        <v>168</v>
      </c>
      <c r="B5" s="148">
        <v>11.043786466</v>
      </c>
      <c r="C5" s="148">
        <v>8.9129974670000003</v>
      </c>
      <c r="D5" s="148">
        <v>9.0986931040000005</v>
      </c>
      <c r="E5" s="148">
        <v>6.8670470469999998</v>
      </c>
    </row>
    <row r="6" spans="1:5" x14ac:dyDescent="0.25">
      <c r="A6" s="149" t="s">
        <v>169</v>
      </c>
      <c r="B6" s="148">
        <v>17.315099159999999</v>
      </c>
      <c r="C6" s="148">
        <v>13.227617362</v>
      </c>
      <c r="D6" s="148">
        <v>14.121628692999998</v>
      </c>
      <c r="E6" s="148">
        <v>10.356176308</v>
      </c>
    </row>
    <row r="7" spans="1:5" x14ac:dyDescent="0.25">
      <c r="A7" s="149" t="s">
        <v>170</v>
      </c>
      <c r="B7" s="148">
        <v>29.505984554999994</v>
      </c>
      <c r="C7" s="148">
        <v>21.701134947</v>
      </c>
      <c r="D7" s="148">
        <v>27.363024927999998</v>
      </c>
      <c r="E7" s="148">
        <v>20.398217999</v>
      </c>
    </row>
    <row r="8" spans="1:5" x14ac:dyDescent="0.25">
      <c r="A8" s="149" t="s">
        <v>171</v>
      </c>
      <c r="B8" s="148">
        <v>40.978561672999994</v>
      </c>
      <c r="C8" s="148">
        <v>29.227167486999999</v>
      </c>
      <c r="D8" s="148">
        <v>41.699489407999998</v>
      </c>
      <c r="E8" s="148">
        <v>30.454712273000002</v>
      </c>
    </row>
    <row r="9" spans="1:5" x14ac:dyDescent="0.25">
      <c r="A9" s="149" t="s">
        <v>48</v>
      </c>
      <c r="B9" s="148">
        <v>51.619032273999998</v>
      </c>
      <c r="C9" s="148">
        <v>35.688771543999998</v>
      </c>
      <c r="D9" s="148">
        <v>57.285254159999994</v>
      </c>
      <c r="E9" s="148">
        <v>40.716824641000002</v>
      </c>
    </row>
    <row r="10" spans="1:5" x14ac:dyDescent="0.25">
      <c r="A10" s="149" t="s">
        <v>172</v>
      </c>
      <c r="B10" s="148">
        <v>61.608877897999996</v>
      </c>
      <c r="C10" s="148">
        <v>42.155786573</v>
      </c>
      <c r="D10" s="148">
        <v>71.057590899999994</v>
      </c>
      <c r="E10" s="148">
        <v>49.906051837999996</v>
      </c>
    </row>
    <row r="11" spans="1:5" x14ac:dyDescent="0.25">
      <c r="A11" s="149" t="s">
        <v>173</v>
      </c>
      <c r="B11" s="148">
        <v>69.115092273999991</v>
      </c>
      <c r="C11" s="148">
        <v>47.338087285999997</v>
      </c>
      <c r="D11" s="148">
        <v>0</v>
      </c>
      <c r="E11" s="148">
        <v>0</v>
      </c>
    </row>
    <row r="12" spans="1:5" x14ac:dyDescent="0.25">
      <c r="A12" s="149" t="s">
        <v>174</v>
      </c>
      <c r="B12" s="148">
        <v>75.060330207999996</v>
      </c>
      <c r="C12" s="148">
        <v>51.670004443999993</v>
      </c>
      <c r="D12" s="148">
        <v>0</v>
      </c>
      <c r="E12" s="148">
        <v>0</v>
      </c>
    </row>
    <row r="13" spans="1:5" x14ac:dyDescent="0.25">
      <c r="A13" s="149" t="s">
        <v>175</v>
      </c>
      <c r="B13" s="148">
        <v>79.062741722000013</v>
      </c>
      <c r="C13" s="148">
        <v>54.205827821999989</v>
      </c>
      <c r="D13" s="148">
        <v>0</v>
      </c>
      <c r="E13" s="148">
        <v>0</v>
      </c>
    </row>
    <row r="14" spans="1:5" x14ac:dyDescent="0.25">
      <c r="A14" s="149"/>
      <c r="B14" s="148"/>
      <c r="C14" s="148"/>
      <c r="D14" s="148"/>
      <c r="E14" s="148"/>
    </row>
    <row r="15" spans="1:5" x14ac:dyDescent="0.25">
      <c r="A15" s="149"/>
      <c r="B15" s="148"/>
      <c r="C15" s="148"/>
      <c r="D15" s="148"/>
      <c r="E15" s="148"/>
    </row>
    <row r="16" spans="1:5" x14ac:dyDescent="0.25">
      <c r="A16" s="149"/>
      <c r="B16" s="151"/>
      <c r="C16" s="151"/>
      <c r="D16" s="151"/>
      <c r="E16" s="151"/>
    </row>
    <row r="17" spans="1:5" x14ac:dyDescent="0.25">
      <c r="A17" s="149"/>
      <c r="B17" s="151"/>
      <c r="C17" s="151"/>
      <c r="D17" s="151"/>
      <c r="E17" s="151"/>
    </row>
    <row r="18" spans="1:5" x14ac:dyDescent="0.25">
      <c r="A18" s="149"/>
      <c r="B18" s="151"/>
      <c r="C18" s="151"/>
      <c r="D18" s="151"/>
      <c r="E18" s="151"/>
    </row>
    <row r="19" spans="1:5" x14ac:dyDescent="0.25">
      <c r="A19" s="149"/>
      <c r="B19" s="151"/>
      <c r="C19" s="151"/>
      <c r="D19" s="151"/>
      <c r="E19" s="151"/>
    </row>
    <row r="20" spans="1:5" x14ac:dyDescent="0.25">
      <c r="A20" s="149"/>
      <c r="B20" s="151"/>
      <c r="C20" s="151"/>
      <c r="D20" s="151"/>
      <c r="E20" s="151"/>
    </row>
    <row r="21" spans="1:5" x14ac:dyDescent="0.25">
      <c r="A21" s="149"/>
      <c r="B21" s="151"/>
      <c r="C21" s="151"/>
      <c r="D21" s="151"/>
      <c r="E21" s="151"/>
    </row>
    <row r="22" spans="1:5" x14ac:dyDescent="0.25">
      <c r="A22" s="149"/>
      <c r="B22" s="151"/>
      <c r="C22" s="151"/>
      <c r="D22" s="151"/>
      <c r="E22" s="151"/>
    </row>
    <row r="23" spans="1:5" x14ac:dyDescent="0.25">
      <c r="A23" s="149"/>
      <c r="B23" s="151"/>
      <c r="C23" s="151"/>
      <c r="D23" s="151"/>
      <c r="E23" s="151"/>
    </row>
    <row r="24" spans="1:5" x14ac:dyDescent="0.25">
      <c r="A24" s="149"/>
      <c r="B24" s="151"/>
      <c r="C24" s="151"/>
      <c r="D24" s="151"/>
      <c r="E24" s="151"/>
    </row>
    <row r="25" spans="1:5" x14ac:dyDescent="0.25">
      <c r="A25" s="149"/>
      <c r="B25" s="151"/>
      <c r="C25" s="151"/>
      <c r="D25" s="151"/>
      <c r="E25" s="151"/>
    </row>
    <row r="26" spans="1:5" x14ac:dyDescent="0.25">
      <c r="A26" s="149"/>
      <c r="B26" s="151"/>
      <c r="C26" s="151"/>
      <c r="D26" s="151"/>
      <c r="E26" s="151"/>
    </row>
    <row r="27" spans="1:5" x14ac:dyDescent="0.25">
      <c r="B27" s="151"/>
      <c r="C27" s="151"/>
      <c r="D27" s="151"/>
      <c r="E27" s="151"/>
    </row>
    <row r="28" spans="1:5" x14ac:dyDescent="0.25">
      <c r="B28" s="151"/>
      <c r="C28" s="151"/>
      <c r="D28" s="151"/>
      <c r="E28" s="151"/>
    </row>
  </sheetData>
  <phoneticPr fontId="5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5E29-63F8-4719-A6B4-47EE34BDE6CF}">
  <dimension ref="A1:G270"/>
  <sheetViews>
    <sheetView workbookViewId="0">
      <selection activeCell="D17" sqref="D17"/>
    </sheetView>
  </sheetViews>
  <sheetFormatPr defaultColWidth="8.88671875" defaultRowHeight="13.2" x14ac:dyDescent="0.25"/>
  <cols>
    <col min="1" max="1" width="13.109375" style="129" customWidth="1"/>
    <col min="2" max="2" width="12" style="129" bestFit="1" customWidth="1"/>
    <col min="3" max="3" width="10.6640625" style="129" bestFit="1" customWidth="1"/>
    <col min="4" max="4" width="14.5546875" style="129" customWidth="1"/>
    <col min="5" max="16384" width="8.88671875" style="129"/>
  </cols>
  <sheetData>
    <row r="1" spans="1:7" ht="26.4" x14ac:dyDescent="0.25">
      <c r="A1" s="143" t="s">
        <v>148</v>
      </c>
      <c r="B1" s="147" t="s">
        <v>26</v>
      </c>
      <c r="C1" s="147" t="s">
        <v>30</v>
      </c>
      <c r="D1" s="147" t="s">
        <v>21</v>
      </c>
      <c r="E1" s="147" t="s">
        <v>180</v>
      </c>
    </row>
    <row r="2" spans="1:7" x14ac:dyDescent="0.25">
      <c r="A2" s="113" t="s">
        <v>107</v>
      </c>
      <c r="B2" s="40">
        <v>34.981000000000002</v>
      </c>
      <c r="C2" s="111">
        <v>1.466</v>
      </c>
      <c r="D2" s="40">
        <v>30.846</v>
      </c>
      <c r="E2" s="159">
        <v>2.794</v>
      </c>
      <c r="F2" s="136"/>
      <c r="G2" s="136"/>
    </row>
    <row r="3" spans="1:7" x14ac:dyDescent="0.25">
      <c r="A3" s="113" t="s">
        <v>108</v>
      </c>
      <c r="B3" s="40">
        <v>41.570999999999998</v>
      </c>
      <c r="C3" s="111">
        <v>2.0110000000000001</v>
      </c>
      <c r="D3" s="40">
        <v>37.015000000000001</v>
      </c>
      <c r="E3" s="159">
        <v>3.3250000000000002</v>
      </c>
      <c r="F3" s="136"/>
      <c r="G3" s="136"/>
    </row>
    <row r="4" spans="1:7" x14ac:dyDescent="0.25">
      <c r="A4" s="113" t="s">
        <v>109</v>
      </c>
      <c r="B4" s="40">
        <v>39.290999999999997</v>
      </c>
      <c r="C4" s="111">
        <v>1.675</v>
      </c>
      <c r="D4" s="40">
        <v>35.704000000000001</v>
      </c>
      <c r="E4" s="159">
        <v>2.972</v>
      </c>
      <c r="F4" s="136"/>
      <c r="G4" s="136"/>
    </row>
    <row r="5" spans="1:7" x14ac:dyDescent="0.25">
      <c r="A5" s="132" t="s">
        <v>110</v>
      </c>
      <c r="B5" s="40">
        <v>40.755000000000003</v>
      </c>
      <c r="C5" s="111">
        <v>2.1320000000000001</v>
      </c>
      <c r="D5" s="40">
        <v>36.695</v>
      </c>
      <c r="E5" s="159">
        <v>2.9460000000000002</v>
      </c>
      <c r="F5" s="136"/>
      <c r="G5" s="136"/>
    </row>
    <row r="6" spans="1:7" x14ac:dyDescent="0.25">
      <c r="A6" s="132" t="s">
        <v>111</v>
      </c>
      <c r="B6" s="40">
        <v>48.395000000000003</v>
      </c>
      <c r="C6" s="111">
        <v>2.6829999999999998</v>
      </c>
      <c r="D6" s="40">
        <v>43.378</v>
      </c>
      <c r="E6" s="159">
        <v>3.665</v>
      </c>
      <c r="F6" s="136"/>
      <c r="G6" s="136"/>
    </row>
    <row r="7" spans="1:7" x14ac:dyDescent="0.25">
      <c r="A7" s="132" t="s">
        <v>112</v>
      </c>
      <c r="B7" s="40">
        <v>48.012</v>
      </c>
      <c r="C7" s="111">
        <v>2.7559999999999998</v>
      </c>
      <c r="D7" s="40">
        <v>44.216999999999999</v>
      </c>
      <c r="E7" s="159">
        <v>3.0979999999999999</v>
      </c>
      <c r="F7" s="136"/>
      <c r="G7" s="136"/>
    </row>
    <row r="8" spans="1:7" x14ac:dyDescent="0.25">
      <c r="A8" s="132" t="s">
        <v>113</v>
      </c>
      <c r="B8" s="40">
        <v>50.414999999999999</v>
      </c>
      <c r="C8" s="111">
        <v>3.2130000000000001</v>
      </c>
      <c r="D8" s="40">
        <v>46.57</v>
      </c>
      <c r="E8" s="159">
        <v>2.7770000000000001</v>
      </c>
      <c r="F8" s="136"/>
      <c r="G8" s="136"/>
    </row>
    <row r="9" spans="1:7" x14ac:dyDescent="0.25">
      <c r="A9" s="132" t="s">
        <v>114</v>
      </c>
      <c r="B9" s="40">
        <v>53.895000000000003</v>
      </c>
      <c r="C9" s="111">
        <v>3.6869999999999998</v>
      </c>
      <c r="D9" s="40">
        <v>49.484999999999999</v>
      </c>
      <c r="E9" s="159">
        <v>2.8809999999999998</v>
      </c>
      <c r="F9" s="136"/>
      <c r="G9" s="136"/>
    </row>
    <row r="10" spans="1:7" x14ac:dyDescent="0.25">
      <c r="A10" s="132" t="s">
        <v>34</v>
      </c>
      <c r="B10" s="40">
        <v>48.947000000000003</v>
      </c>
      <c r="C10" s="111">
        <v>2.9</v>
      </c>
      <c r="D10" s="40">
        <v>45.063000000000002</v>
      </c>
      <c r="E10" s="159">
        <v>2.4590000000000001</v>
      </c>
      <c r="F10" s="136"/>
      <c r="G10" s="136"/>
    </row>
    <row r="11" spans="1:7" x14ac:dyDescent="0.25">
      <c r="A11" s="132" t="s">
        <v>37</v>
      </c>
      <c r="B11" s="40">
        <v>56.953000000000003</v>
      </c>
      <c r="C11" s="111">
        <v>3.911</v>
      </c>
      <c r="D11" s="40">
        <v>46.835999999999999</v>
      </c>
      <c r="E11" s="159">
        <v>7.8920000000000003</v>
      </c>
      <c r="F11" s="136"/>
      <c r="G11" s="136"/>
    </row>
    <row r="12" spans="1:7" x14ac:dyDescent="0.25">
      <c r="A12" s="146" t="s">
        <v>54</v>
      </c>
      <c r="B12" s="40">
        <v>53.024999999999999</v>
      </c>
      <c r="C12" s="111">
        <v>4.7699999999999996</v>
      </c>
      <c r="D12" s="40">
        <v>49.89</v>
      </c>
      <c r="E12" s="159">
        <v>5.6139999999999999</v>
      </c>
      <c r="F12" s="136"/>
      <c r="G12" s="136"/>
    </row>
    <row r="13" spans="1:7" x14ac:dyDescent="0.25">
      <c r="A13" s="146" t="s">
        <v>176</v>
      </c>
      <c r="B13" s="40">
        <v>54.01</v>
      </c>
      <c r="C13" s="111">
        <v>3.6429999999999998</v>
      </c>
      <c r="D13" s="40">
        <v>49.52</v>
      </c>
      <c r="E13" s="159">
        <v>3.94</v>
      </c>
      <c r="F13" s="136"/>
    </row>
    <row r="14" spans="1:7" x14ac:dyDescent="0.25">
      <c r="A14" s="146" t="s">
        <v>177</v>
      </c>
      <c r="B14" s="40">
        <v>54.691000000000003</v>
      </c>
      <c r="C14" s="111">
        <v>3.7429999999999999</v>
      </c>
      <c r="D14" s="40">
        <v>50.37</v>
      </c>
      <c r="E14" s="159">
        <v>4.6459999999999999</v>
      </c>
      <c r="F14" s="136"/>
    </row>
    <row r="15" spans="1:7" x14ac:dyDescent="0.25">
      <c r="A15" s="146"/>
      <c r="B15" s="40"/>
      <c r="C15" s="111"/>
      <c r="D15" s="40"/>
      <c r="E15" s="136"/>
      <c r="F15" s="136"/>
    </row>
    <row r="16" spans="1:7" x14ac:dyDescent="0.25">
      <c r="A16" s="132"/>
      <c r="B16" s="99"/>
      <c r="C16" s="99"/>
      <c r="D16" s="99"/>
      <c r="E16" s="136"/>
      <c r="F16" s="136"/>
    </row>
    <row r="17" spans="1:6" x14ac:dyDescent="0.25">
      <c r="A17" s="132"/>
      <c r="B17" s="99"/>
      <c r="C17" s="99"/>
      <c r="D17" s="99"/>
      <c r="E17" s="136"/>
      <c r="F17" s="136"/>
    </row>
    <row r="18" spans="1:6" x14ac:dyDescent="0.25">
      <c r="A18" s="132"/>
      <c r="B18" s="99"/>
      <c r="C18" s="99"/>
      <c r="D18" s="99"/>
      <c r="E18" s="99"/>
      <c r="F18" s="136"/>
    </row>
    <row r="19" spans="1:6" x14ac:dyDescent="0.25">
      <c r="A19" s="132"/>
      <c r="B19" s="99"/>
      <c r="C19" s="99"/>
      <c r="D19" s="99"/>
      <c r="E19" s="99"/>
      <c r="F19" s="136"/>
    </row>
    <row r="20" spans="1:6" x14ac:dyDescent="0.25">
      <c r="A20" s="132"/>
      <c r="B20" s="99"/>
      <c r="C20" s="99"/>
      <c r="D20" s="99"/>
      <c r="E20" s="99"/>
      <c r="F20" s="136"/>
    </row>
    <row r="21" spans="1:6" x14ac:dyDescent="0.25">
      <c r="A21" s="132"/>
      <c r="B21" s="99"/>
      <c r="C21" s="99"/>
      <c r="D21" s="99"/>
      <c r="E21" s="99"/>
      <c r="F21" s="136"/>
    </row>
    <row r="22" spans="1:6" x14ac:dyDescent="0.25">
      <c r="A22" s="132"/>
      <c r="B22" s="99"/>
      <c r="C22" s="99"/>
      <c r="D22" s="99"/>
      <c r="E22" s="99"/>
      <c r="F22" s="136"/>
    </row>
    <row r="23" spans="1:6" x14ac:dyDescent="0.25">
      <c r="A23" s="132"/>
      <c r="B23" s="99"/>
      <c r="C23" s="99"/>
      <c r="D23" s="99"/>
      <c r="E23" s="99"/>
      <c r="F23" s="136"/>
    </row>
    <row r="24" spans="1:6" x14ac:dyDescent="0.25">
      <c r="A24" s="132"/>
      <c r="B24" s="99"/>
      <c r="C24" s="99"/>
      <c r="D24" s="99"/>
      <c r="E24" s="99"/>
      <c r="F24" s="136"/>
    </row>
    <row r="25" spans="1:6" x14ac:dyDescent="0.25">
      <c r="A25" s="132"/>
      <c r="B25" s="99"/>
      <c r="C25" s="99"/>
      <c r="D25" s="99"/>
      <c r="E25" s="99"/>
      <c r="F25" s="136"/>
    </row>
    <row r="26" spans="1:6" x14ac:dyDescent="0.25">
      <c r="A26" s="132"/>
      <c r="B26" s="99"/>
      <c r="C26" s="99"/>
      <c r="D26" s="99"/>
      <c r="E26" s="99"/>
      <c r="F26" s="136"/>
    </row>
    <row r="27" spans="1:6" x14ac:dyDescent="0.25">
      <c r="A27" s="132"/>
      <c r="B27" s="99"/>
      <c r="C27" s="99"/>
      <c r="D27" s="99"/>
      <c r="E27" s="99"/>
      <c r="F27" s="136"/>
    </row>
    <row r="28" spans="1:6" x14ac:dyDescent="0.25">
      <c r="A28" s="132"/>
      <c r="B28" s="99"/>
      <c r="C28" s="99"/>
      <c r="D28" s="99"/>
      <c r="E28" s="99"/>
      <c r="F28" s="136"/>
    </row>
    <row r="29" spans="1:6" x14ac:dyDescent="0.25">
      <c r="A29" s="132"/>
      <c r="B29" s="99"/>
      <c r="C29" s="99"/>
      <c r="D29" s="99"/>
      <c r="E29" s="99"/>
      <c r="F29" s="136"/>
    </row>
    <row r="30" spans="1:6" x14ac:dyDescent="0.25">
      <c r="A30" s="132"/>
      <c r="B30" s="99"/>
      <c r="C30" s="99"/>
      <c r="D30" s="99"/>
      <c r="E30" s="99"/>
      <c r="F30" s="136"/>
    </row>
    <row r="31" spans="1:6" x14ac:dyDescent="0.25">
      <c r="A31" s="132"/>
      <c r="B31" s="99"/>
      <c r="C31" s="99"/>
      <c r="D31" s="99"/>
      <c r="E31" s="99"/>
      <c r="F31" s="136"/>
    </row>
    <row r="32" spans="1:6" x14ac:dyDescent="0.25">
      <c r="A32" s="134"/>
      <c r="B32" s="99"/>
      <c r="C32" s="99"/>
      <c r="D32" s="99"/>
      <c r="E32" s="99"/>
      <c r="F32" s="136"/>
    </row>
    <row r="33" spans="1:6" x14ac:dyDescent="0.25">
      <c r="A33" s="134"/>
      <c r="B33" s="99"/>
      <c r="C33" s="99"/>
      <c r="D33" s="99"/>
      <c r="E33" s="99"/>
      <c r="F33" s="136"/>
    </row>
    <row r="34" spans="1:6" x14ac:dyDescent="0.25">
      <c r="A34" s="134"/>
      <c r="B34" s="99"/>
      <c r="C34" s="99"/>
      <c r="D34" s="99"/>
      <c r="E34" s="136"/>
      <c r="F34" s="136"/>
    </row>
    <row r="35" spans="1:6" x14ac:dyDescent="0.25">
      <c r="A35" s="134"/>
      <c r="B35" s="135"/>
      <c r="C35" s="135"/>
      <c r="D35" s="136"/>
      <c r="E35" s="136"/>
      <c r="F35" s="136"/>
    </row>
    <row r="36" spans="1:6" x14ac:dyDescent="0.25">
      <c r="A36" s="134"/>
      <c r="B36" s="135"/>
      <c r="C36" s="135"/>
      <c r="D36" s="136"/>
      <c r="E36" s="136"/>
      <c r="F36" s="136"/>
    </row>
    <row r="37" spans="1:6" x14ac:dyDescent="0.25">
      <c r="A37" s="134"/>
      <c r="B37" s="135"/>
      <c r="C37" s="135"/>
      <c r="D37" s="136"/>
      <c r="E37" s="136"/>
      <c r="F37" s="136"/>
    </row>
    <row r="38" spans="1:6" x14ac:dyDescent="0.25">
      <c r="A38" s="134"/>
      <c r="B38" s="135"/>
      <c r="C38" s="135"/>
      <c r="D38" s="136"/>
      <c r="E38" s="136"/>
      <c r="F38" s="136"/>
    </row>
    <row r="39" spans="1:6" x14ac:dyDescent="0.25">
      <c r="A39" s="134"/>
      <c r="B39" s="135"/>
      <c r="C39" s="135"/>
      <c r="D39" s="136"/>
      <c r="E39" s="136"/>
      <c r="F39" s="136"/>
    </row>
    <row r="40" spans="1:6" x14ac:dyDescent="0.25">
      <c r="A40" s="134"/>
      <c r="B40" s="135"/>
      <c r="C40" s="135"/>
      <c r="D40" s="136"/>
      <c r="E40" s="136"/>
      <c r="F40" s="136"/>
    </row>
    <row r="41" spans="1:6" x14ac:dyDescent="0.25">
      <c r="A41" s="134"/>
      <c r="B41" s="135"/>
      <c r="C41" s="135"/>
      <c r="D41" s="136"/>
      <c r="E41" s="136"/>
      <c r="F41" s="136"/>
    </row>
    <row r="42" spans="1:6" x14ac:dyDescent="0.25">
      <c r="A42" s="134"/>
      <c r="B42" s="135"/>
      <c r="C42" s="135"/>
      <c r="D42" s="136"/>
      <c r="E42" s="136"/>
      <c r="F42" s="136"/>
    </row>
    <row r="43" spans="1:6" x14ac:dyDescent="0.25">
      <c r="A43" s="134"/>
      <c r="B43" s="135"/>
      <c r="C43" s="135"/>
      <c r="D43" s="136"/>
      <c r="E43" s="136"/>
      <c r="F43" s="136"/>
    </row>
    <row r="44" spans="1:6" x14ac:dyDescent="0.25">
      <c r="A44" s="134"/>
      <c r="B44" s="135"/>
      <c r="C44" s="135"/>
      <c r="D44" s="136"/>
      <c r="E44" s="136"/>
      <c r="F44" s="136"/>
    </row>
    <row r="45" spans="1:6" x14ac:dyDescent="0.25">
      <c r="A45" s="134"/>
      <c r="B45" s="135"/>
      <c r="C45" s="135"/>
      <c r="D45" s="136"/>
      <c r="E45" s="136"/>
      <c r="F45" s="136"/>
    </row>
    <row r="46" spans="1:6" x14ac:dyDescent="0.25">
      <c r="A46" s="134"/>
      <c r="B46" s="135"/>
      <c r="C46" s="135"/>
      <c r="D46" s="136"/>
      <c r="E46" s="136"/>
      <c r="F46" s="136"/>
    </row>
    <row r="47" spans="1:6" x14ac:dyDescent="0.25">
      <c r="A47" s="134"/>
      <c r="B47" s="135"/>
      <c r="C47" s="135"/>
      <c r="D47" s="136"/>
      <c r="E47" s="136"/>
      <c r="F47" s="136"/>
    </row>
    <row r="48" spans="1:6" x14ac:dyDescent="0.25">
      <c r="A48" s="134"/>
      <c r="B48" s="135"/>
      <c r="C48" s="135"/>
      <c r="D48" s="136"/>
      <c r="E48" s="136"/>
      <c r="F48" s="136"/>
    </row>
    <row r="49" spans="1:6" x14ac:dyDescent="0.25">
      <c r="A49" s="134"/>
      <c r="B49" s="135"/>
      <c r="C49" s="135"/>
      <c r="D49" s="136"/>
      <c r="E49" s="136"/>
      <c r="F49" s="136"/>
    </row>
    <row r="50" spans="1:6" x14ac:dyDescent="0.25">
      <c r="A50" s="134"/>
      <c r="B50" s="135"/>
      <c r="C50" s="135"/>
      <c r="D50" s="136"/>
      <c r="E50" s="136"/>
      <c r="F50" s="136"/>
    </row>
    <row r="51" spans="1:6" x14ac:dyDescent="0.25">
      <c r="A51" s="134"/>
      <c r="B51" s="135"/>
      <c r="C51" s="135"/>
      <c r="D51" s="136"/>
      <c r="E51" s="136"/>
      <c r="F51" s="136"/>
    </row>
    <row r="52" spans="1:6" x14ac:dyDescent="0.25">
      <c r="A52" s="134"/>
      <c r="B52" s="135"/>
      <c r="C52" s="135"/>
      <c r="D52" s="136"/>
      <c r="E52" s="136"/>
      <c r="F52" s="136"/>
    </row>
    <row r="53" spans="1:6" x14ac:dyDescent="0.25">
      <c r="A53" s="134"/>
      <c r="B53" s="135"/>
      <c r="C53" s="135"/>
      <c r="D53" s="136"/>
      <c r="E53" s="136"/>
      <c r="F53" s="136"/>
    </row>
    <row r="54" spans="1:6" x14ac:dyDescent="0.25">
      <c r="A54" s="134"/>
      <c r="B54" s="135"/>
      <c r="C54" s="135"/>
      <c r="D54" s="136"/>
      <c r="E54" s="136"/>
      <c r="F54" s="136"/>
    </row>
    <row r="55" spans="1:6" x14ac:dyDescent="0.25">
      <c r="A55" s="134"/>
      <c r="D55" s="136"/>
      <c r="E55" s="136"/>
      <c r="F55" s="136"/>
    </row>
    <row r="56" spans="1:6" x14ac:dyDescent="0.25">
      <c r="A56" s="134"/>
    </row>
    <row r="57" spans="1:6" x14ac:dyDescent="0.25">
      <c r="A57" s="134"/>
    </row>
    <row r="58" spans="1:6" x14ac:dyDescent="0.25">
      <c r="A58" s="134"/>
    </row>
    <row r="59" spans="1:6" x14ac:dyDescent="0.25">
      <c r="A59" s="134"/>
    </row>
    <row r="60" spans="1:6" x14ac:dyDescent="0.25">
      <c r="A60" s="134"/>
    </row>
    <row r="61" spans="1:6" x14ac:dyDescent="0.25">
      <c r="A61" s="134"/>
    </row>
    <row r="62" spans="1:6" x14ac:dyDescent="0.25">
      <c r="A62" s="134"/>
    </row>
    <row r="63" spans="1:6" x14ac:dyDescent="0.25">
      <c r="A63" s="134"/>
    </row>
    <row r="64" spans="1:6" x14ac:dyDescent="0.25">
      <c r="A64" s="134"/>
    </row>
    <row r="65" spans="1:1" x14ac:dyDescent="0.25">
      <c r="A65" s="134"/>
    </row>
    <row r="66" spans="1:1" x14ac:dyDescent="0.25">
      <c r="A66" s="134"/>
    </row>
    <row r="67" spans="1:1" x14ac:dyDescent="0.25">
      <c r="A67" s="134"/>
    </row>
    <row r="68" spans="1:1" x14ac:dyDescent="0.25">
      <c r="A68" s="134"/>
    </row>
    <row r="69" spans="1:1" x14ac:dyDescent="0.25">
      <c r="A69" s="134"/>
    </row>
    <row r="70" spans="1:1" x14ac:dyDescent="0.25">
      <c r="A70" s="134"/>
    </row>
    <row r="71" spans="1:1" x14ac:dyDescent="0.25">
      <c r="A71" s="134"/>
    </row>
    <row r="72" spans="1:1" x14ac:dyDescent="0.25">
      <c r="A72" s="134"/>
    </row>
    <row r="73" spans="1:1" x14ac:dyDescent="0.25">
      <c r="A73" s="134"/>
    </row>
    <row r="74" spans="1:1" x14ac:dyDescent="0.25">
      <c r="A74" s="134"/>
    </row>
    <row r="75" spans="1:1" x14ac:dyDescent="0.25">
      <c r="A75" s="134"/>
    </row>
    <row r="76" spans="1:1" x14ac:dyDescent="0.25">
      <c r="A76" s="134"/>
    </row>
    <row r="77" spans="1:1" x14ac:dyDescent="0.25">
      <c r="A77" s="134"/>
    </row>
    <row r="78" spans="1:1" x14ac:dyDescent="0.25">
      <c r="A78" s="134"/>
    </row>
    <row r="79" spans="1:1" x14ac:dyDescent="0.25">
      <c r="A79" s="134"/>
    </row>
    <row r="80" spans="1:1" x14ac:dyDescent="0.25">
      <c r="A80" s="134"/>
    </row>
    <row r="81" spans="1:1" x14ac:dyDescent="0.25">
      <c r="A81" s="134"/>
    </row>
    <row r="82" spans="1:1" x14ac:dyDescent="0.25">
      <c r="A82" s="134"/>
    </row>
    <row r="83" spans="1:1" x14ac:dyDescent="0.25">
      <c r="A83" s="134"/>
    </row>
    <row r="84" spans="1:1" x14ac:dyDescent="0.25">
      <c r="A84" s="134"/>
    </row>
    <row r="85" spans="1:1" x14ac:dyDescent="0.25">
      <c r="A85" s="134"/>
    </row>
    <row r="86" spans="1:1" x14ac:dyDescent="0.25">
      <c r="A86" s="134"/>
    </row>
    <row r="87" spans="1:1" x14ac:dyDescent="0.25">
      <c r="A87" s="134"/>
    </row>
    <row r="88" spans="1:1" x14ac:dyDescent="0.25">
      <c r="A88" s="134"/>
    </row>
    <row r="89" spans="1:1" x14ac:dyDescent="0.25">
      <c r="A89" s="134"/>
    </row>
    <row r="90" spans="1:1" x14ac:dyDescent="0.25">
      <c r="A90" s="134"/>
    </row>
    <row r="91" spans="1:1" x14ac:dyDescent="0.25">
      <c r="A91" s="134"/>
    </row>
    <row r="92" spans="1:1" x14ac:dyDescent="0.25">
      <c r="A92" s="134"/>
    </row>
    <row r="93" spans="1:1" x14ac:dyDescent="0.25">
      <c r="A93" s="134"/>
    </row>
    <row r="94" spans="1:1" x14ac:dyDescent="0.25">
      <c r="A94" s="134"/>
    </row>
    <row r="95" spans="1:1" x14ac:dyDescent="0.25">
      <c r="A95" s="134"/>
    </row>
    <row r="96" spans="1:1" x14ac:dyDescent="0.25">
      <c r="A96" s="134"/>
    </row>
    <row r="97" spans="1:1" x14ac:dyDescent="0.25">
      <c r="A97" s="134"/>
    </row>
    <row r="98" spans="1:1" x14ac:dyDescent="0.25">
      <c r="A98" s="134"/>
    </row>
    <row r="99" spans="1:1" x14ac:dyDescent="0.25">
      <c r="A99" s="134"/>
    </row>
    <row r="100" spans="1:1" x14ac:dyDescent="0.25">
      <c r="A100" s="134"/>
    </row>
    <row r="101" spans="1:1" x14ac:dyDescent="0.25">
      <c r="A101" s="134"/>
    </row>
    <row r="102" spans="1:1" x14ac:dyDescent="0.25">
      <c r="A102" s="134"/>
    </row>
    <row r="103" spans="1:1" x14ac:dyDescent="0.25">
      <c r="A103" s="134"/>
    </row>
    <row r="104" spans="1:1" x14ac:dyDescent="0.25">
      <c r="A104" s="134"/>
    </row>
    <row r="105" spans="1:1" x14ac:dyDescent="0.25">
      <c r="A105" s="134"/>
    </row>
    <row r="106" spans="1:1" x14ac:dyDescent="0.25">
      <c r="A106" s="134"/>
    </row>
    <row r="107" spans="1:1" x14ac:dyDescent="0.25">
      <c r="A107" s="134"/>
    </row>
    <row r="108" spans="1:1" x14ac:dyDescent="0.25">
      <c r="A108" s="134"/>
    </row>
    <row r="109" spans="1:1" x14ac:dyDescent="0.25">
      <c r="A109" s="134"/>
    </row>
    <row r="110" spans="1:1" x14ac:dyDescent="0.25">
      <c r="A110" s="134"/>
    </row>
    <row r="111" spans="1:1" x14ac:dyDescent="0.25">
      <c r="A111" s="134"/>
    </row>
    <row r="112" spans="1:1" x14ac:dyDescent="0.25">
      <c r="A112" s="134"/>
    </row>
    <row r="113" spans="1:1" x14ac:dyDescent="0.25">
      <c r="A113" s="134"/>
    </row>
    <row r="114" spans="1:1" x14ac:dyDescent="0.25">
      <c r="A114" s="134"/>
    </row>
    <row r="115" spans="1:1" x14ac:dyDescent="0.25">
      <c r="A115" s="134"/>
    </row>
    <row r="116" spans="1:1" x14ac:dyDescent="0.25">
      <c r="A116" s="134"/>
    </row>
    <row r="117" spans="1:1" x14ac:dyDescent="0.25">
      <c r="A117" s="134"/>
    </row>
    <row r="118" spans="1:1" x14ac:dyDescent="0.25">
      <c r="A118" s="134"/>
    </row>
    <row r="119" spans="1:1" x14ac:dyDescent="0.25">
      <c r="A119" s="134"/>
    </row>
    <row r="120" spans="1:1" x14ac:dyDescent="0.25">
      <c r="A120" s="134"/>
    </row>
    <row r="121" spans="1:1" x14ac:dyDescent="0.25">
      <c r="A121" s="134"/>
    </row>
    <row r="122" spans="1:1" x14ac:dyDescent="0.25">
      <c r="A122" s="134"/>
    </row>
    <row r="123" spans="1:1" x14ac:dyDescent="0.25">
      <c r="A123" s="134"/>
    </row>
    <row r="124" spans="1:1" x14ac:dyDescent="0.25">
      <c r="A124" s="134"/>
    </row>
    <row r="125" spans="1:1" x14ac:dyDescent="0.25">
      <c r="A125" s="134"/>
    </row>
    <row r="126" spans="1:1" x14ac:dyDescent="0.25">
      <c r="A126" s="134"/>
    </row>
    <row r="127" spans="1:1" x14ac:dyDescent="0.25">
      <c r="A127" s="134"/>
    </row>
    <row r="128" spans="1:1" x14ac:dyDescent="0.25">
      <c r="A128" s="134"/>
    </row>
    <row r="129" spans="1:1" x14ac:dyDescent="0.25">
      <c r="A129" s="134"/>
    </row>
    <row r="130" spans="1:1" x14ac:dyDescent="0.25">
      <c r="A130" s="134"/>
    </row>
    <row r="131" spans="1:1" x14ac:dyDescent="0.25">
      <c r="A131" s="134"/>
    </row>
    <row r="132" spans="1:1" x14ac:dyDescent="0.25">
      <c r="A132" s="134"/>
    </row>
    <row r="133" spans="1:1" x14ac:dyDescent="0.25">
      <c r="A133" s="134"/>
    </row>
    <row r="134" spans="1:1" x14ac:dyDescent="0.25">
      <c r="A134" s="134"/>
    </row>
    <row r="135" spans="1:1" x14ac:dyDescent="0.25">
      <c r="A135" s="134"/>
    </row>
    <row r="136" spans="1:1" x14ac:dyDescent="0.25">
      <c r="A136" s="134"/>
    </row>
    <row r="137" spans="1:1" x14ac:dyDescent="0.25">
      <c r="A137" s="134"/>
    </row>
    <row r="138" spans="1:1" x14ac:dyDescent="0.25">
      <c r="A138" s="134"/>
    </row>
    <row r="139" spans="1:1" x14ac:dyDescent="0.25">
      <c r="A139" s="134"/>
    </row>
    <row r="140" spans="1:1" x14ac:dyDescent="0.25">
      <c r="A140" s="134"/>
    </row>
    <row r="141" spans="1:1" x14ac:dyDescent="0.25">
      <c r="A141" s="134"/>
    </row>
    <row r="142" spans="1:1" x14ac:dyDescent="0.25">
      <c r="A142" s="134"/>
    </row>
    <row r="143" spans="1:1" x14ac:dyDescent="0.25">
      <c r="A143" s="134"/>
    </row>
    <row r="144" spans="1:1" x14ac:dyDescent="0.25">
      <c r="A144" s="134"/>
    </row>
    <row r="145" spans="1:1" x14ac:dyDescent="0.25">
      <c r="A145" s="134"/>
    </row>
    <row r="146" spans="1:1" x14ac:dyDescent="0.25">
      <c r="A146" s="134"/>
    </row>
    <row r="147" spans="1:1" x14ac:dyDescent="0.25">
      <c r="A147" s="134"/>
    </row>
    <row r="148" spans="1:1" x14ac:dyDescent="0.25">
      <c r="A148" s="134"/>
    </row>
    <row r="149" spans="1:1" x14ac:dyDescent="0.25">
      <c r="A149" s="134"/>
    </row>
    <row r="150" spans="1:1" x14ac:dyDescent="0.25">
      <c r="A150" s="134"/>
    </row>
    <row r="151" spans="1:1" x14ac:dyDescent="0.25">
      <c r="A151" s="134"/>
    </row>
    <row r="152" spans="1:1" x14ac:dyDescent="0.25">
      <c r="A152" s="134"/>
    </row>
    <row r="153" spans="1:1" x14ac:dyDescent="0.25">
      <c r="A153" s="134"/>
    </row>
    <row r="154" spans="1:1" x14ac:dyDescent="0.25">
      <c r="A154" s="134"/>
    </row>
    <row r="155" spans="1:1" x14ac:dyDescent="0.25">
      <c r="A155" s="134"/>
    </row>
    <row r="156" spans="1:1" x14ac:dyDescent="0.25">
      <c r="A156" s="134"/>
    </row>
    <row r="157" spans="1:1" x14ac:dyDescent="0.25">
      <c r="A157" s="134"/>
    </row>
    <row r="158" spans="1:1" x14ac:dyDescent="0.25">
      <c r="A158" s="134"/>
    </row>
    <row r="159" spans="1:1" x14ac:dyDescent="0.25">
      <c r="A159" s="134"/>
    </row>
    <row r="160" spans="1:1" x14ac:dyDescent="0.25">
      <c r="A160" s="134"/>
    </row>
    <row r="161" spans="1:1" x14ac:dyDescent="0.25">
      <c r="A161" s="134"/>
    </row>
    <row r="162" spans="1:1" x14ac:dyDescent="0.25">
      <c r="A162" s="134"/>
    </row>
    <row r="163" spans="1:1" x14ac:dyDescent="0.25">
      <c r="A163" s="134"/>
    </row>
    <row r="164" spans="1:1" x14ac:dyDescent="0.25">
      <c r="A164" s="134"/>
    </row>
    <row r="165" spans="1:1" x14ac:dyDescent="0.25">
      <c r="A165" s="134"/>
    </row>
    <row r="166" spans="1:1" x14ac:dyDescent="0.25">
      <c r="A166" s="134"/>
    </row>
    <row r="167" spans="1:1" x14ac:dyDescent="0.25">
      <c r="A167" s="134"/>
    </row>
    <row r="168" spans="1:1" x14ac:dyDescent="0.25">
      <c r="A168" s="134"/>
    </row>
    <row r="169" spans="1:1" x14ac:dyDescent="0.25">
      <c r="A169" s="134"/>
    </row>
    <row r="170" spans="1:1" x14ac:dyDescent="0.25">
      <c r="A170" s="134"/>
    </row>
    <row r="171" spans="1:1" x14ac:dyDescent="0.25">
      <c r="A171" s="134"/>
    </row>
    <row r="172" spans="1:1" x14ac:dyDescent="0.25">
      <c r="A172" s="134"/>
    </row>
    <row r="173" spans="1:1" x14ac:dyDescent="0.25">
      <c r="A173" s="134"/>
    </row>
    <row r="174" spans="1:1" x14ac:dyDescent="0.25">
      <c r="A174" s="134"/>
    </row>
    <row r="175" spans="1:1" x14ac:dyDescent="0.25">
      <c r="A175" s="134"/>
    </row>
    <row r="176" spans="1:1" x14ac:dyDescent="0.25">
      <c r="A176" s="134"/>
    </row>
    <row r="177" spans="1:1" x14ac:dyDescent="0.25">
      <c r="A177" s="134"/>
    </row>
    <row r="178" spans="1:1" x14ac:dyDescent="0.25">
      <c r="A178" s="134"/>
    </row>
    <row r="179" spans="1:1" x14ac:dyDescent="0.25">
      <c r="A179" s="134"/>
    </row>
    <row r="180" spans="1:1" x14ac:dyDescent="0.25">
      <c r="A180" s="134"/>
    </row>
    <row r="181" spans="1:1" x14ac:dyDescent="0.25">
      <c r="A181" s="134"/>
    </row>
    <row r="182" spans="1:1" x14ac:dyDescent="0.25">
      <c r="A182" s="134"/>
    </row>
    <row r="183" spans="1:1" x14ac:dyDescent="0.25">
      <c r="A183" s="134"/>
    </row>
    <row r="184" spans="1:1" x14ac:dyDescent="0.25">
      <c r="A184" s="134"/>
    </row>
    <row r="185" spans="1:1" x14ac:dyDescent="0.25">
      <c r="A185" s="134"/>
    </row>
    <row r="186" spans="1:1" x14ac:dyDescent="0.25">
      <c r="A186" s="134"/>
    </row>
    <row r="187" spans="1:1" x14ac:dyDescent="0.25">
      <c r="A187" s="134"/>
    </row>
    <row r="188" spans="1:1" x14ac:dyDescent="0.25">
      <c r="A188" s="134"/>
    </row>
    <row r="189" spans="1:1" x14ac:dyDescent="0.25">
      <c r="A189" s="134"/>
    </row>
    <row r="190" spans="1:1" x14ac:dyDescent="0.25">
      <c r="A190" s="134"/>
    </row>
    <row r="191" spans="1:1" x14ac:dyDescent="0.25">
      <c r="A191" s="134"/>
    </row>
    <row r="192" spans="1:1" x14ac:dyDescent="0.25">
      <c r="A192" s="134"/>
    </row>
    <row r="193" spans="1:1" x14ac:dyDescent="0.25">
      <c r="A193" s="134"/>
    </row>
    <row r="194" spans="1:1" x14ac:dyDescent="0.25">
      <c r="A194" s="134"/>
    </row>
    <row r="195" spans="1:1" x14ac:dyDescent="0.25">
      <c r="A195" s="134"/>
    </row>
    <row r="196" spans="1:1" x14ac:dyDescent="0.25">
      <c r="A196" s="134"/>
    </row>
    <row r="197" spans="1:1" x14ac:dyDescent="0.25">
      <c r="A197" s="134"/>
    </row>
    <row r="198" spans="1:1" x14ac:dyDescent="0.25">
      <c r="A198" s="134"/>
    </row>
    <row r="199" spans="1:1" x14ac:dyDescent="0.25">
      <c r="A199" s="134"/>
    </row>
    <row r="200" spans="1:1" x14ac:dyDescent="0.25">
      <c r="A200" s="134"/>
    </row>
    <row r="201" spans="1:1" x14ac:dyDescent="0.25">
      <c r="A201" s="137"/>
    </row>
    <row r="202" spans="1:1" x14ac:dyDescent="0.25">
      <c r="A202" s="137"/>
    </row>
    <row r="203" spans="1:1" x14ac:dyDescent="0.25">
      <c r="A203" s="137"/>
    </row>
    <row r="204" spans="1:1" x14ac:dyDescent="0.25">
      <c r="A204" s="137"/>
    </row>
    <row r="205" spans="1:1" x14ac:dyDescent="0.25">
      <c r="A205" s="137"/>
    </row>
    <row r="206" spans="1:1" x14ac:dyDescent="0.25">
      <c r="A206" s="134"/>
    </row>
    <row r="207" spans="1:1" x14ac:dyDescent="0.25">
      <c r="A207" s="134"/>
    </row>
    <row r="208" spans="1:1" x14ac:dyDescent="0.25">
      <c r="A208" s="134"/>
    </row>
    <row r="209" spans="1:1" x14ac:dyDescent="0.25">
      <c r="A209" s="134"/>
    </row>
    <row r="210" spans="1:1" x14ac:dyDescent="0.25">
      <c r="A210" s="134"/>
    </row>
    <row r="211" spans="1:1" x14ac:dyDescent="0.25">
      <c r="A211" s="134"/>
    </row>
    <row r="212" spans="1:1" x14ac:dyDescent="0.25">
      <c r="A212" s="134"/>
    </row>
    <row r="213" spans="1:1" x14ac:dyDescent="0.25">
      <c r="A213" s="134"/>
    </row>
    <row r="214" spans="1:1" x14ac:dyDescent="0.25">
      <c r="A214" s="134"/>
    </row>
    <row r="215" spans="1:1" x14ac:dyDescent="0.25">
      <c r="A215" s="134"/>
    </row>
    <row r="216" spans="1:1" x14ac:dyDescent="0.25">
      <c r="A216" s="134"/>
    </row>
    <row r="217" spans="1:1" x14ac:dyDescent="0.25">
      <c r="A217" s="134"/>
    </row>
    <row r="218" spans="1:1" x14ac:dyDescent="0.25">
      <c r="A218" s="134"/>
    </row>
    <row r="219" spans="1:1" x14ac:dyDescent="0.25">
      <c r="A219" s="134"/>
    </row>
    <row r="220" spans="1:1" x14ac:dyDescent="0.25">
      <c r="A220" s="134"/>
    </row>
    <row r="221" spans="1:1" x14ac:dyDescent="0.25">
      <c r="A221" s="134"/>
    </row>
    <row r="222" spans="1:1" x14ac:dyDescent="0.25">
      <c r="A222" s="134"/>
    </row>
    <row r="223" spans="1:1" x14ac:dyDescent="0.25">
      <c r="A223" s="134"/>
    </row>
    <row r="224" spans="1:1" x14ac:dyDescent="0.25">
      <c r="A224" s="134"/>
    </row>
    <row r="225" spans="1:1" x14ac:dyDescent="0.25">
      <c r="A225" s="134"/>
    </row>
    <row r="226" spans="1:1" x14ac:dyDescent="0.25">
      <c r="A226" s="134"/>
    </row>
    <row r="227" spans="1:1" x14ac:dyDescent="0.25">
      <c r="A227" s="134"/>
    </row>
    <row r="228" spans="1:1" x14ac:dyDescent="0.25">
      <c r="A228" s="134"/>
    </row>
    <row r="229" spans="1:1" x14ac:dyDescent="0.25">
      <c r="A229" s="134"/>
    </row>
    <row r="230" spans="1:1" x14ac:dyDescent="0.25">
      <c r="A230" s="134"/>
    </row>
    <row r="231" spans="1:1" x14ac:dyDescent="0.25">
      <c r="A231" s="134"/>
    </row>
    <row r="232" spans="1:1" x14ac:dyDescent="0.25">
      <c r="A232" s="134"/>
    </row>
    <row r="233" spans="1:1" x14ac:dyDescent="0.25">
      <c r="A233" s="134"/>
    </row>
    <row r="234" spans="1:1" x14ac:dyDescent="0.25">
      <c r="A234" s="134"/>
    </row>
    <row r="235" spans="1:1" x14ac:dyDescent="0.25">
      <c r="A235" s="134"/>
    </row>
    <row r="236" spans="1:1" x14ac:dyDescent="0.25">
      <c r="A236" s="134"/>
    </row>
    <row r="237" spans="1:1" x14ac:dyDescent="0.25">
      <c r="A237" s="134"/>
    </row>
    <row r="238" spans="1:1" x14ac:dyDescent="0.25">
      <c r="A238" s="134"/>
    </row>
    <row r="239" spans="1:1" x14ac:dyDescent="0.25">
      <c r="A239" s="134"/>
    </row>
    <row r="240" spans="1:1" x14ac:dyDescent="0.25">
      <c r="A240" s="134"/>
    </row>
    <row r="241" spans="1:1" x14ac:dyDescent="0.25">
      <c r="A241" s="134"/>
    </row>
    <row r="242" spans="1:1" x14ac:dyDescent="0.25">
      <c r="A242" s="134"/>
    </row>
    <row r="243" spans="1:1" x14ac:dyDescent="0.25">
      <c r="A243" s="134"/>
    </row>
    <row r="244" spans="1:1" x14ac:dyDescent="0.25">
      <c r="A244" s="134"/>
    </row>
    <row r="245" spans="1:1" x14ac:dyDescent="0.25">
      <c r="A245" s="134"/>
    </row>
    <row r="246" spans="1:1" x14ac:dyDescent="0.25">
      <c r="A246" s="134"/>
    </row>
    <row r="247" spans="1:1" x14ac:dyDescent="0.25">
      <c r="A247" s="134"/>
    </row>
    <row r="248" spans="1:1" x14ac:dyDescent="0.25">
      <c r="A248" s="134"/>
    </row>
    <row r="249" spans="1:1" x14ac:dyDescent="0.25">
      <c r="A249" s="134"/>
    </row>
    <row r="250" spans="1:1" x14ac:dyDescent="0.25">
      <c r="A250" s="134"/>
    </row>
    <row r="251" spans="1:1" x14ac:dyDescent="0.25">
      <c r="A251" s="134"/>
    </row>
    <row r="252" spans="1:1" x14ac:dyDescent="0.25">
      <c r="A252" s="134"/>
    </row>
    <row r="253" spans="1:1" x14ac:dyDescent="0.25">
      <c r="A253" s="134"/>
    </row>
    <row r="254" spans="1:1" x14ac:dyDescent="0.25">
      <c r="A254" s="134"/>
    </row>
    <row r="255" spans="1:1" x14ac:dyDescent="0.25">
      <c r="A255" s="134"/>
    </row>
    <row r="256" spans="1:1" x14ac:dyDescent="0.25">
      <c r="A256" s="134"/>
    </row>
    <row r="257" spans="1:1" x14ac:dyDescent="0.25">
      <c r="A257" s="134"/>
    </row>
    <row r="258" spans="1:1" x14ac:dyDescent="0.25">
      <c r="A258" s="134"/>
    </row>
    <row r="259" spans="1:1" x14ac:dyDescent="0.25">
      <c r="A259" s="134"/>
    </row>
    <row r="260" spans="1:1" x14ac:dyDescent="0.25">
      <c r="A260" s="134"/>
    </row>
    <row r="261" spans="1:1" x14ac:dyDescent="0.25">
      <c r="A261" s="134"/>
    </row>
    <row r="262" spans="1:1" x14ac:dyDescent="0.25">
      <c r="A262" s="134"/>
    </row>
    <row r="263" spans="1:1" x14ac:dyDescent="0.25">
      <c r="A263" s="134"/>
    </row>
    <row r="264" spans="1:1" x14ac:dyDescent="0.25">
      <c r="A264" s="134"/>
    </row>
    <row r="265" spans="1:1" x14ac:dyDescent="0.25">
      <c r="A265" s="134"/>
    </row>
    <row r="266" spans="1:1" x14ac:dyDescent="0.25">
      <c r="A266" s="134"/>
    </row>
    <row r="267" spans="1:1" x14ac:dyDescent="0.25">
      <c r="A267" s="134"/>
    </row>
    <row r="268" spans="1:1" x14ac:dyDescent="0.25">
      <c r="A268" s="134"/>
    </row>
    <row r="269" spans="1:1" x14ac:dyDescent="0.25">
      <c r="A269" s="134"/>
    </row>
    <row r="270" spans="1:1" x14ac:dyDescent="0.25">
      <c r="A270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2"/>
  <sheetViews>
    <sheetView showGridLines="0" zoomScale="70" zoomScaleNormal="70" workbookViewId="0">
      <selection activeCell="Q13" sqref="Q13"/>
    </sheetView>
  </sheetViews>
  <sheetFormatPr defaultColWidth="9.109375" defaultRowHeight="13.2" x14ac:dyDescent="0.25"/>
  <cols>
    <col min="1" max="1" width="21.6640625" customWidth="1"/>
    <col min="2" max="2" width="14.109375" bestFit="1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 x14ac:dyDescent="0.25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 x14ac:dyDescent="0.25">
      <c r="A2" s="16"/>
      <c r="B2" s="17" t="s">
        <v>13</v>
      </c>
      <c r="C2" s="124"/>
      <c r="D2" s="18" t="s">
        <v>14</v>
      </c>
      <c r="E2" s="19"/>
      <c r="F2" s="124" t="s">
        <v>15</v>
      </c>
      <c r="G2" s="124"/>
      <c r="H2" s="124"/>
      <c r="I2" s="16"/>
      <c r="J2" s="19"/>
      <c r="K2" s="124"/>
      <c r="L2" s="20" t="s">
        <v>16</v>
      </c>
      <c r="M2" s="124"/>
      <c r="N2" s="16"/>
    </row>
    <row r="3" spans="1:23" ht="13.8" x14ac:dyDescent="0.25">
      <c r="A3" s="16" t="s">
        <v>17</v>
      </c>
      <c r="B3" s="18" t="s">
        <v>18</v>
      </c>
      <c r="C3" s="16" t="s">
        <v>19</v>
      </c>
      <c r="D3" s="18"/>
      <c r="E3" s="21" t="s">
        <v>20</v>
      </c>
      <c r="F3" s="21"/>
      <c r="G3" s="21"/>
      <c r="H3" s="21"/>
      <c r="I3" s="21"/>
      <c r="J3" s="18" t="s">
        <v>21</v>
      </c>
      <c r="K3" s="21" t="s">
        <v>22</v>
      </c>
      <c r="L3" s="21"/>
      <c r="M3" s="21"/>
      <c r="N3" s="21" t="s">
        <v>23</v>
      </c>
    </row>
    <row r="4" spans="1:23" ht="13.8" x14ac:dyDescent="0.25">
      <c r="A4" s="22" t="s">
        <v>24</v>
      </c>
      <c r="B4" s="23"/>
      <c r="C4" s="23"/>
      <c r="D4" s="23"/>
      <c r="E4" s="24" t="s">
        <v>25</v>
      </c>
      <c r="F4" s="24" t="s">
        <v>26</v>
      </c>
      <c r="G4" s="25" t="s">
        <v>27</v>
      </c>
      <c r="H4" s="26" t="s">
        <v>28</v>
      </c>
      <c r="I4" s="25"/>
      <c r="J4" s="25"/>
      <c r="K4" s="25" t="s">
        <v>29</v>
      </c>
      <c r="L4" s="26" t="s">
        <v>30</v>
      </c>
      <c r="M4" s="24" t="s">
        <v>28</v>
      </c>
      <c r="N4" s="25" t="s">
        <v>25</v>
      </c>
      <c r="W4" s="27"/>
    </row>
    <row r="5" spans="1:23" ht="14.4" x14ac:dyDescent="0.3">
      <c r="A5" s="16"/>
      <c r="B5" s="28" t="s">
        <v>31</v>
      </c>
      <c r="C5" s="125"/>
      <c r="D5" s="29" t="s">
        <v>32</v>
      </c>
      <c r="G5" s="28"/>
      <c r="I5" s="28"/>
      <c r="J5" s="28" t="s">
        <v>33</v>
      </c>
      <c r="K5" s="28"/>
      <c r="L5" s="28"/>
      <c r="M5" s="28"/>
      <c r="N5" s="28"/>
      <c r="W5" s="27"/>
    </row>
    <row r="6" spans="1:23" ht="16.5" customHeight="1" x14ac:dyDescent="0.25">
      <c r="A6" s="16" t="s">
        <v>37</v>
      </c>
      <c r="B6" s="30">
        <v>87.194999999999993</v>
      </c>
      <c r="C6" s="30">
        <v>86.311999999999998</v>
      </c>
      <c r="D6" s="30">
        <f>F6/C6</f>
        <v>51.735355454629712</v>
      </c>
      <c r="E6" s="31">
        <v>256.97899999999998</v>
      </c>
      <c r="F6" s="32">
        <f>F27</f>
        <v>4465.3819999999996</v>
      </c>
      <c r="G6" s="33">
        <f>G27</f>
        <v>15.915255741600001</v>
      </c>
      <c r="H6" s="33">
        <f>SUM(E6:G6)</f>
        <v>4738.2762557415999</v>
      </c>
      <c r="I6" s="16"/>
      <c r="J6" s="32">
        <f>J27</f>
        <v>2203.8901705391709</v>
      </c>
      <c r="K6" s="32">
        <f t="shared" ref="K6" si="0">M6-L6-J6</f>
        <v>107.86113147202877</v>
      </c>
      <c r="L6" s="33">
        <f>L27</f>
        <v>2152.1309537304001</v>
      </c>
      <c r="M6" s="33">
        <f>H6-N6</f>
        <v>4463.8822557415997</v>
      </c>
      <c r="N6" s="33">
        <f>N26</f>
        <v>274.39400000000001</v>
      </c>
    </row>
    <row r="7" spans="1:23" ht="16.5" customHeight="1" x14ac:dyDescent="0.25">
      <c r="A7" s="16" t="s">
        <v>155</v>
      </c>
      <c r="B7" s="30">
        <v>87.45</v>
      </c>
      <c r="C7" s="30">
        <v>86.335999999999999</v>
      </c>
      <c r="D7" s="30">
        <f>F7/C7</f>
        <v>49.528852390659743</v>
      </c>
      <c r="E7" s="31">
        <f>N6</f>
        <v>274.39400000000001</v>
      </c>
      <c r="F7" s="32">
        <v>4276.1229999999996</v>
      </c>
      <c r="G7" s="33">
        <v>25</v>
      </c>
      <c r="H7" s="33">
        <f>SUM(E7:G7)</f>
        <v>4575.5169999999998</v>
      </c>
      <c r="I7" s="16"/>
      <c r="J7" s="32">
        <v>2220</v>
      </c>
      <c r="K7" s="32">
        <v>120.28</v>
      </c>
      <c r="L7" s="33">
        <v>1980</v>
      </c>
      <c r="M7" s="33">
        <f>SUM(J7:L7)</f>
        <v>4320.2800000000007</v>
      </c>
      <c r="N7" s="33">
        <f>H7-M7</f>
        <v>255.23699999999917</v>
      </c>
      <c r="P7" s="144"/>
    </row>
    <row r="8" spans="1:23" ht="16.5" customHeight="1" x14ac:dyDescent="0.25">
      <c r="A8" s="16" t="s">
        <v>154</v>
      </c>
      <c r="B8" s="30">
        <v>83.504999999999995</v>
      </c>
      <c r="C8" s="30">
        <v>82.695999999999998</v>
      </c>
      <c r="D8" s="30">
        <f>F8/C8</f>
        <v>51.997678243204028</v>
      </c>
      <c r="E8" s="31">
        <f>N7</f>
        <v>255.23699999999917</v>
      </c>
      <c r="F8" s="32">
        <v>4300</v>
      </c>
      <c r="G8" s="33">
        <v>20</v>
      </c>
      <c r="H8" s="33">
        <f>SUM(E8:G8)</f>
        <v>4575.2369999999992</v>
      </c>
      <c r="I8" s="16"/>
      <c r="J8" s="32">
        <v>2300</v>
      </c>
      <c r="K8" s="32">
        <v>125.56</v>
      </c>
      <c r="L8" s="33">
        <v>1850</v>
      </c>
      <c r="M8" s="33">
        <f>SUM(J8:L8)</f>
        <v>4275.5599999999995</v>
      </c>
      <c r="N8" s="33">
        <f>H8-M8</f>
        <v>299.67699999999968</v>
      </c>
      <c r="P8" s="144"/>
    </row>
    <row r="9" spans="1:23" ht="16.5" customHeight="1" x14ac:dyDescent="0.25">
      <c r="A9" s="16"/>
      <c r="B9" s="16"/>
      <c r="C9" s="16"/>
      <c r="D9" s="16"/>
      <c r="E9" s="34"/>
      <c r="F9" s="34"/>
      <c r="G9" s="35"/>
      <c r="H9" s="34"/>
      <c r="I9" s="34"/>
      <c r="J9" s="35"/>
      <c r="K9" s="35"/>
      <c r="L9" s="35"/>
      <c r="M9" s="35"/>
      <c r="N9" s="35"/>
    </row>
    <row r="10" spans="1:23" ht="16.5" customHeight="1" x14ac:dyDescent="0.25">
      <c r="A10" s="36" t="s">
        <v>37</v>
      </c>
      <c r="B10" s="106"/>
      <c r="C10" s="106"/>
      <c r="D10" s="106"/>
      <c r="E10" s="38"/>
      <c r="F10" s="39"/>
      <c r="G10" s="6"/>
      <c r="H10" s="13"/>
      <c r="I10" s="106"/>
      <c r="J10" s="13"/>
      <c r="K10" s="37"/>
      <c r="L10" s="6"/>
      <c r="M10" s="6"/>
      <c r="N10" s="13"/>
    </row>
    <row r="11" spans="1:23" ht="16.5" customHeight="1" x14ac:dyDescent="0.25">
      <c r="A11" s="16" t="s">
        <v>38</v>
      </c>
      <c r="B11" s="106"/>
      <c r="C11" s="106"/>
      <c r="D11" s="111"/>
      <c r="E11" s="38"/>
      <c r="F11" s="39"/>
      <c r="G11" s="6">
        <f>(24488.6*36.744)/1000000</f>
        <v>0.89980911839999989</v>
      </c>
      <c r="I11" s="106"/>
      <c r="J11" s="13">
        <f>((4924574*0.907185)*36.744)/1000000</f>
        <v>164.15380766099736</v>
      </c>
      <c r="K11" s="37"/>
      <c r="L11" s="6">
        <f>(2099065.6*36.744)/1000000</f>
        <v>77.128066406400009</v>
      </c>
      <c r="M11" s="6"/>
      <c r="N11" s="13"/>
      <c r="Q11" s="111"/>
    </row>
    <row r="12" spans="1:23" ht="16.5" customHeight="1" x14ac:dyDescent="0.25">
      <c r="A12" s="16" t="s">
        <v>39</v>
      </c>
      <c r="B12" s="106"/>
      <c r="C12" s="106"/>
      <c r="D12" s="111"/>
      <c r="E12" s="38"/>
      <c r="F12" s="39"/>
      <c r="G12" s="6">
        <f>(19229.4*36.744)/1000000</f>
        <v>0.70656507359999998</v>
      </c>
      <c r="I12" s="106"/>
      <c r="J12" s="13">
        <f>((5908157*0.907185)*36.744)/1000000</f>
        <v>196.9401754972055</v>
      </c>
      <c r="K12" s="37"/>
      <c r="L12" s="6">
        <f>(10694811.7*36.744)/1000000</f>
        <v>392.97016110480001</v>
      </c>
      <c r="M12" s="6"/>
      <c r="N12" s="13"/>
      <c r="Q12" s="111"/>
    </row>
    <row r="13" spans="1:23" ht="16.5" customHeight="1" x14ac:dyDescent="0.25">
      <c r="A13" s="16" t="s">
        <v>40</v>
      </c>
      <c r="B13" s="106"/>
      <c r="C13" s="106"/>
      <c r="D13" s="111"/>
      <c r="E13" s="38"/>
      <c r="F13" s="39"/>
      <c r="G13" s="6">
        <f>(34894.1*36.744)/1000000</f>
        <v>1.2821488103999998</v>
      </c>
      <c r="I13" s="106"/>
      <c r="J13" s="13">
        <f>((5717943*0.907185)*36.744)/1000000</f>
        <v>190.59965703399854</v>
      </c>
      <c r="K13" s="37"/>
      <c r="L13" s="6">
        <f>(10679456.7*36.744)/1000000</f>
        <v>392.40595698479996</v>
      </c>
      <c r="M13" s="6"/>
      <c r="N13" s="13"/>
      <c r="Q13" s="111"/>
    </row>
    <row r="14" spans="1:23" ht="16.5" customHeight="1" x14ac:dyDescent="0.25">
      <c r="A14" s="16" t="s">
        <v>41</v>
      </c>
      <c r="B14" s="106"/>
      <c r="C14" s="106"/>
      <c r="E14" s="38">
        <f>E6</f>
        <v>256.97899999999998</v>
      </c>
      <c r="F14" s="38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06"/>
      <c r="J14" s="13">
        <f>SUM(J11:J13)</f>
        <v>551.69364019220143</v>
      </c>
      <c r="K14" s="37">
        <f>M14-L14-J14</f>
        <v>174.52769831419835</v>
      </c>
      <c r="L14" s="6">
        <f>SUM(L11:L13)</f>
        <v>862.50418449599999</v>
      </c>
      <c r="M14" s="6">
        <f>H14-N14</f>
        <v>1588.7255230023998</v>
      </c>
      <c r="N14" s="13">
        <v>3136.5239999999999</v>
      </c>
    </row>
    <row r="15" spans="1:23" ht="16.5" customHeight="1" x14ac:dyDescent="0.25">
      <c r="A15" s="16" t="s">
        <v>42</v>
      </c>
      <c r="B15" s="106"/>
      <c r="C15" s="106"/>
      <c r="D15" s="111"/>
      <c r="E15" s="38"/>
      <c r="F15" s="38"/>
      <c r="G15" s="6">
        <f>(27884.8*36.744)/1000000</f>
        <v>1.0245990912</v>
      </c>
      <c r="H15" s="13"/>
      <c r="I15" s="106"/>
      <c r="J15" s="13">
        <f>((5947222*0.907185)*36.744)/1000000</f>
        <v>198.24235280153209</v>
      </c>
      <c r="K15" s="37"/>
      <c r="L15" s="6">
        <f>(7936612.7*36.744)/1000000</f>
        <v>291.62289704879998</v>
      </c>
      <c r="M15" s="6"/>
      <c r="N15" s="13"/>
    </row>
    <row r="16" spans="1:23" ht="16.5" customHeight="1" x14ac:dyDescent="0.25">
      <c r="A16" s="16" t="s">
        <v>43</v>
      </c>
      <c r="B16" s="106"/>
      <c r="C16" s="106"/>
      <c r="D16" s="111"/>
      <c r="E16" s="38"/>
      <c r="F16" s="38"/>
      <c r="G16" s="6">
        <f>(23985.1*36.744)/1000000</f>
        <v>0.88130851440000002</v>
      </c>
      <c r="H16" s="13"/>
      <c r="I16" s="106"/>
      <c r="J16" s="13">
        <f>((5828974*0.907185)*36.744)/1000000</f>
        <v>194.30072060181334</v>
      </c>
      <c r="K16" s="37"/>
      <c r="L16" s="6">
        <f>(6529270.8*36.744)/1000000</f>
        <v>239.91152627519998</v>
      </c>
      <c r="M16" s="6"/>
      <c r="N16" s="13"/>
    </row>
    <row r="17" spans="1:17" ht="16.5" customHeight="1" x14ac:dyDescent="0.25">
      <c r="A17" s="16" t="s">
        <v>44</v>
      </c>
      <c r="B17" s="106"/>
      <c r="C17" s="106"/>
      <c r="D17" s="111"/>
      <c r="E17" s="38"/>
      <c r="F17" s="38"/>
      <c r="G17" s="6">
        <f>(47263.6*36.744)/1000000</f>
        <v>1.7366537183999999</v>
      </c>
      <c r="H17" s="13"/>
      <c r="I17" s="106"/>
      <c r="J17" s="13">
        <f>((5232453*0.907185)*36.744)/1000000</f>
        <v>174.41652483183492</v>
      </c>
      <c r="K17" s="37"/>
      <c r="L17" s="6">
        <f>(3809000.1*36.744)/1000000</f>
        <v>139.95789967440001</v>
      </c>
      <c r="M17" s="6"/>
      <c r="N17" s="13"/>
      <c r="Q17" s="111"/>
    </row>
    <row r="18" spans="1:17" ht="16.5" customHeight="1" x14ac:dyDescent="0.25">
      <c r="A18" s="16" t="s">
        <v>45</v>
      </c>
      <c r="B18" s="106"/>
      <c r="C18" s="106"/>
      <c r="E18" s="38">
        <f>N14</f>
        <v>3136.5239999999999</v>
      </c>
      <c r="F18" s="38"/>
      <c r="G18" s="6">
        <f>SUM(G15:G17)</f>
        <v>3.6425613239999999</v>
      </c>
      <c r="H18" s="13">
        <f>E18+F18+G18</f>
        <v>3140.1665613239998</v>
      </c>
      <c r="I18" s="106"/>
      <c r="J18" s="13">
        <f>SUM(J15:J17)</f>
        <v>566.95959823518035</v>
      </c>
      <c r="K18" s="37">
        <f>M18-L18-J18</f>
        <v>-30.102359909580514</v>
      </c>
      <c r="L18" s="6">
        <f>SUM(L15:L17)</f>
        <v>671.49232299839991</v>
      </c>
      <c r="M18" s="6">
        <f>H18-N18</f>
        <v>1208.3495613239998</v>
      </c>
      <c r="N18" s="13">
        <v>1931.817</v>
      </c>
      <c r="P18" s="40"/>
    </row>
    <row r="19" spans="1:17" ht="16.5" customHeight="1" x14ac:dyDescent="0.25">
      <c r="A19" s="16" t="s">
        <v>46</v>
      </c>
      <c r="B19" s="106"/>
      <c r="C19" s="106"/>
      <c r="D19" s="111"/>
      <c r="E19" s="38"/>
      <c r="F19" s="38"/>
      <c r="G19" s="6">
        <f>(33646.7*36.744)/1000000</f>
        <v>1.2363143447999998</v>
      </c>
      <c r="H19" s="13"/>
      <c r="I19" s="106"/>
      <c r="J19" s="13">
        <f>((5786159*0.907185)*36.744)/1000000</f>
        <v>192.87354227633676</v>
      </c>
      <c r="K19" s="37"/>
      <c r="L19" s="6">
        <f>(3018428.5*36.744)/1000000</f>
        <v>110.909136804</v>
      </c>
      <c r="M19" s="6"/>
      <c r="N19" s="13"/>
      <c r="Q19" s="111"/>
    </row>
    <row r="20" spans="1:17" ht="16.5" customHeight="1" x14ac:dyDescent="0.25">
      <c r="A20" s="16" t="s">
        <v>47</v>
      </c>
      <c r="B20" s="106"/>
      <c r="C20" s="106"/>
      <c r="D20" s="111"/>
      <c r="E20" s="38"/>
      <c r="F20" s="38"/>
      <c r="G20" s="6">
        <f>(49197*36.744)/1000000</f>
        <v>1.8076945680000001</v>
      </c>
      <c r="H20" s="13"/>
      <c r="I20" s="106"/>
      <c r="J20" s="13">
        <f>((5426712*0.907185)*36.744)/1000000</f>
        <v>180.89187772985568</v>
      </c>
      <c r="K20" s="37"/>
      <c r="L20" s="6">
        <f>(3550990.4*36.744)/1000000</f>
        <v>130.47759125759998</v>
      </c>
      <c r="M20" s="6"/>
      <c r="N20" s="13"/>
    </row>
    <row r="21" spans="1:17" ht="16.5" customHeight="1" x14ac:dyDescent="0.25">
      <c r="A21" s="16" t="s">
        <v>48</v>
      </c>
      <c r="B21" s="106"/>
      <c r="C21" s="106"/>
      <c r="D21" s="111"/>
      <c r="E21" s="38"/>
      <c r="F21" s="38"/>
      <c r="G21" s="6">
        <f>(30538.1*36.744)/1000000</f>
        <v>1.1220919464000001</v>
      </c>
      <c r="H21" s="13"/>
      <c r="I21" s="106"/>
      <c r="J21" s="13">
        <f>((5427160*0.907185)*36.744)/1000000</f>
        <v>180.90681118518239</v>
      </c>
      <c r="K21" s="37"/>
      <c r="L21" s="6">
        <f>(2448876.2*36.744)/1000000</f>
        <v>89.981507092800001</v>
      </c>
      <c r="M21" s="6"/>
      <c r="N21" s="13"/>
      <c r="Q21" s="111"/>
    </row>
    <row r="22" spans="1:17" ht="16.5" customHeight="1" x14ac:dyDescent="0.25">
      <c r="A22" s="16" t="s">
        <v>49</v>
      </c>
      <c r="B22" s="106"/>
      <c r="C22" s="106"/>
      <c r="E22" s="38">
        <f>N18</f>
        <v>1931.817</v>
      </c>
      <c r="F22" s="38"/>
      <c r="G22" s="6">
        <f>SUM(G19:G21)</f>
        <v>4.1661008592000002</v>
      </c>
      <c r="H22" s="13">
        <f>E22+F22+G22</f>
        <v>1935.9831008592</v>
      </c>
      <c r="I22" s="106"/>
      <c r="J22" s="13">
        <f>SUM(J19:J21)</f>
        <v>554.67223119137486</v>
      </c>
      <c r="K22" s="37">
        <f>M22-L22-J22</f>
        <v>82.417634513425241</v>
      </c>
      <c r="L22" s="6">
        <f>SUM(L19:L21)</f>
        <v>331.36823515439994</v>
      </c>
      <c r="M22" s="6">
        <f>H22-N22</f>
        <v>968.45810085920004</v>
      </c>
      <c r="N22" s="13">
        <v>967.52499999999998</v>
      </c>
    </row>
    <row r="23" spans="1:17" ht="16.5" customHeight="1" x14ac:dyDescent="0.25">
      <c r="A23" s="16" t="s">
        <v>50</v>
      </c>
      <c r="B23" s="106"/>
      <c r="C23" s="106"/>
      <c r="E23" s="38"/>
      <c r="F23" s="38"/>
      <c r="G23" s="6">
        <f>(21131.7*36.744)/1000000</f>
        <v>0.77646318480000009</v>
      </c>
      <c r="H23" s="13"/>
      <c r="I23" s="106"/>
      <c r="J23" s="13">
        <f>((5222412*0.907185)*36.744)/1000000</f>
        <v>174.08182209760369</v>
      </c>
      <c r="K23" s="37"/>
      <c r="L23" s="6">
        <f>(2256761*36.744)/1000000</f>
        <v>82.922426184000003</v>
      </c>
      <c r="M23" s="6"/>
      <c r="N23" s="13"/>
    </row>
    <row r="24" spans="1:17" ht="16.5" customHeight="1" x14ac:dyDescent="0.25">
      <c r="A24" s="16" t="s">
        <v>51</v>
      </c>
      <c r="B24" s="106"/>
      <c r="C24" s="106"/>
      <c r="E24" s="38"/>
      <c r="F24" s="38"/>
      <c r="G24" s="6">
        <f>(60176.9*36.744)/1000000</f>
        <v>2.2111400136000001</v>
      </c>
      <c r="H24" s="13"/>
      <c r="I24" s="106"/>
      <c r="J24" s="13">
        <f>((5441780*0.907185)*36.744)/1000000</f>
        <v>181.39414849963919</v>
      </c>
      <c r="K24" s="37"/>
      <c r="L24" s="6">
        <f>(2315581.7*36.744)/1000000</f>
        <v>85.083733984800006</v>
      </c>
      <c r="M24" s="6"/>
      <c r="N24" s="13"/>
      <c r="Q24" s="111"/>
    </row>
    <row r="25" spans="1:17" ht="16.5" customHeight="1" x14ac:dyDescent="0.25">
      <c r="A25" s="16" t="s">
        <v>52</v>
      </c>
      <c r="B25" s="106"/>
      <c r="C25" s="106"/>
      <c r="E25" s="38"/>
      <c r="F25" s="38"/>
      <c r="G25" s="6">
        <f>(60702.9*36.744)/1000000</f>
        <v>2.2304673576000003</v>
      </c>
      <c r="H25" s="13"/>
      <c r="I25" s="106"/>
      <c r="J25" s="13">
        <f>((5252619*0.907185)*36.744)/1000000</f>
        <v>175.08873032317118</v>
      </c>
      <c r="K25" s="37"/>
      <c r="L25" s="6">
        <f>(3232093.8*36.744)/1000000</f>
        <v>118.76005458719999</v>
      </c>
      <c r="M25" s="6"/>
      <c r="N25" s="13"/>
    </row>
    <row r="26" spans="1:17" ht="16.5" customHeight="1" x14ac:dyDescent="0.25">
      <c r="A26" s="16" t="s">
        <v>53</v>
      </c>
      <c r="B26" s="106"/>
      <c r="C26" s="106"/>
      <c r="E26" s="38">
        <f>N22</f>
        <v>967.52499999999998</v>
      </c>
      <c r="F26" s="38"/>
      <c r="G26" s="6">
        <f>SUM(G23:G25)</f>
        <v>5.2180705560000007</v>
      </c>
      <c r="H26" s="13">
        <f>E26+F26+G26</f>
        <v>972.74307055600002</v>
      </c>
      <c r="I26" s="106"/>
      <c r="J26" s="13">
        <f>SUM(J23:J25)</f>
        <v>530.564700920414</v>
      </c>
      <c r="K26" s="37">
        <f>M26-L26-J26</f>
        <v>-118.98184512041399</v>
      </c>
      <c r="L26" s="6">
        <f>SUM(L23:L25)</f>
        <v>286.76621475600001</v>
      </c>
      <c r="M26" s="6">
        <f>H26-N26</f>
        <v>698.34907055600002</v>
      </c>
      <c r="N26" s="13">
        <f>274.394</f>
        <v>274.39400000000001</v>
      </c>
    </row>
    <row r="27" spans="1:17" ht="16.5" customHeight="1" x14ac:dyDescent="0.25">
      <c r="A27" s="16" t="s">
        <v>28</v>
      </c>
      <c r="B27" s="106"/>
      <c r="C27" s="106"/>
      <c r="D27" s="106"/>
      <c r="E27" s="38"/>
      <c r="F27" s="38">
        <f>F14</f>
        <v>4465.3819999999996</v>
      </c>
      <c r="G27" s="6">
        <f>(433138.9*36.744)/1000000</f>
        <v>15.915255741600001</v>
      </c>
      <c r="H27" s="13">
        <f>E14+F27+G27</f>
        <v>4738.2762557415999</v>
      </c>
      <c r="I27" s="106"/>
      <c r="J27" s="13">
        <f>SUM(J14,J18,J22,J26)</f>
        <v>2203.8901705391709</v>
      </c>
      <c r="K27" s="37">
        <f>SUM(K14,K18,K22,K26)</f>
        <v>107.86112779762908</v>
      </c>
      <c r="L27" s="157">
        <f>(58570949.1*36.744)/1000000</f>
        <v>2152.1309537304001</v>
      </c>
      <c r="M27" s="6">
        <f>SUM(M14,M18,M22,M26)</f>
        <v>4463.8822557415997</v>
      </c>
      <c r="N27" s="13"/>
      <c r="Q27" s="111"/>
    </row>
    <row r="28" spans="1:17" ht="16.5" customHeight="1" x14ac:dyDescent="0.25">
      <c r="A28" s="16"/>
      <c r="B28" s="106"/>
      <c r="C28" s="106"/>
      <c r="D28" s="106"/>
      <c r="E28" s="38"/>
      <c r="F28" s="38"/>
      <c r="G28" s="6"/>
      <c r="H28" s="13"/>
      <c r="I28" s="106"/>
      <c r="J28" s="13"/>
      <c r="K28" s="37"/>
      <c r="L28" s="6"/>
      <c r="M28" s="6"/>
      <c r="N28" s="13"/>
    </row>
    <row r="29" spans="1:17" ht="16.5" customHeight="1" x14ac:dyDescent="0.25">
      <c r="A29" s="36" t="s">
        <v>54</v>
      </c>
      <c r="B29" s="106"/>
      <c r="C29" s="106"/>
      <c r="D29" s="106"/>
      <c r="E29" s="38"/>
      <c r="F29" s="38"/>
      <c r="G29" s="6"/>
      <c r="H29" s="13"/>
      <c r="I29" s="106"/>
      <c r="J29" s="13"/>
      <c r="K29" s="37"/>
      <c r="L29" s="6"/>
      <c r="M29" s="6"/>
      <c r="N29" s="13"/>
    </row>
    <row r="30" spans="1:17" ht="16.5" customHeight="1" x14ac:dyDescent="0.25">
      <c r="A30" s="16" t="s">
        <v>38</v>
      </c>
      <c r="B30" s="106"/>
      <c r="C30" s="106"/>
      <c r="D30" s="106"/>
      <c r="E30" s="38"/>
      <c r="F30" s="38"/>
      <c r="G30" s="6">
        <f>(31794.8*36.744)/1000000</f>
        <v>1.1682681311999998</v>
      </c>
      <c r="H30" s="13"/>
      <c r="I30" s="106"/>
      <c r="J30" s="6">
        <f>((5028287*0.907185)*36.744)/1000000</f>
        <v>167.6109359027387</v>
      </c>
      <c r="K30" s="37"/>
      <c r="L30" s="6">
        <f>(2077930.3*36.744)/1000000</f>
        <v>76.351470943200013</v>
      </c>
      <c r="M30" s="6"/>
      <c r="N30" s="13"/>
    </row>
    <row r="31" spans="1:17" ht="16.5" customHeight="1" x14ac:dyDescent="0.25">
      <c r="A31" s="16" t="s">
        <v>39</v>
      </c>
      <c r="B31" s="106"/>
      <c r="C31" s="106"/>
      <c r="D31" s="106"/>
      <c r="E31" s="38"/>
      <c r="F31" s="38"/>
      <c r="G31" s="6">
        <f>(33827.2*36.744)/1000000</f>
        <v>1.2429466367999999</v>
      </c>
      <c r="H31" s="13"/>
      <c r="I31" s="106"/>
      <c r="J31" s="6">
        <f>((5899694*0.907185)*36.744)/1000000</f>
        <v>196.65807319267415</v>
      </c>
      <c r="K31" s="37"/>
      <c r="L31" s="6">
        <f>(9947619.5*36.744)/1000000</f>
        <v>365.51533090800001</v>
      </c>
      <c r="M31" s="6"/>
      <c r="N31" s="13"/>
    </row>
    <row r="32" spans="1:17" ht="16.5" customHeight="1" x14ac:dyDescent="0.25">
      <c r="A32" s="16" t="s">
        <v>40</v>
      </c>
      <c r="B32" s="106"/>
      <c r="C32" s="106"/>
      <c r="D32" s="106"/>
      <c r="E32" s="38"/>
      <c r="F32" s="38"/>
      <c r="G32" s="6">
        <f>(35058.7*36.744)/1000000</f>
        <v>1.2881968727999997</v>
      </c>
      <c r="H32" s="13"/>
      <c r="I32" s="106"/>
      <c r="J32" s="6">
        <f>((5687098*0.907185)*36.744)/1000000</f>
        <v>189.57148196803271</v>
      </c>
      <c r="K32" s="37"/>
      <c r="L32" s="6">
        <f>(9794669.4*36.744)/1000000</f>
        <v>359.8953324336</v>
      </c>
      <c r="M32" s="6"/>
      <c r="N32" s="13"/>
    </row>
    <row r="33" spans="1:73" ht="16.5" customHeight="1" x14ac:dyDescent="0.25">
      <c r="A33" s="16" t="s">
        <v>41</v>
      </c>
      <c r="B33" s="106"/>
      <c r="C33" s="106"/>
      <c r="D33" s="106"/>
      <c r="E33" s="38">
        <f>N26</f>
        <v>274.39400000000001</v>
      </c>
      <c r="F33" s="118">
        <f>4276.123</f>
        <v>4276.1229999999996</v>
      </c>
      <c r="G33" s="6">
        <f>SUM(G30:G32)</f>
        <v>3.6994116407999993</v>
      </c>
      <c r="H33" s="13">
        <f>SUM(E33:G33)</f>
        <v>4554.2164116407994</v>
      </c>
      <c r="I33" s="106"/>
      <c r="J33" s="6">
        <f>SUM(J30:J32)</f>
        <v>553.8404910634456</v>
      </c>
      <c r="K33" s="37">
        <f>M33-L33-J33</f>
        <v>177.46178629255371</v>
      </c>
      <c r="L33" s="6">
        <f>SUM(L30:L32)</f>
        <v>801.76213428480003</v>
      </c>
      <c r="M33" s="6">
        <f>H33-N33</f>
        <v>1533.0644116407993</v>
      </c>
      <c r="N33" s="13">
        <f>3021.152</f>
        <v>3021.152</v>
      </c>
    </row>
    <row r="34" spans="1:73" ht="16.5" customHeight="1" x14ac:dyDescent="0.25">
      <c r="A34" s="16" t="s">
        <v>42</v>
      </c>
      <c r="B34" s="106"/>
      <c r="C34" s="106"/>
      <c r="D34" s="106"/>
      <c r="E34" s="38"/>
      <c r="F34" s="118"/>
      <c r="G34" s="6">
        <f>(36017.3*36.744)/1000000</f>
        <v>1.3234196711999999</v>
      </c>
      <c r="H34" s="13"/>
      <c r="I34" s="106"/>
      <c r="J34" s="6">
        <f>((5622561*0.907185)*36.744)/1000000</f>
        <v>187.42023106084403</v>
      </c>
      <c r="K34" s="37"/>
      <c r="L34" s="6">
        <f>(7968849.1*36.744)/1000000</f>
        <v>292.80739133039998</v>
      </c>
      <c r="M34" s="6"/>
      <c r="N34" s="13"/>
    </row>
    <row r="35" spans="1:73" ht="16.5" customHeight="1" x14ac:dyDescent="0.25">
      <c r="A35" s="16" t="s">
        <v>43</v>
      </c>
      <c r="B35" s="106"/>
      <c r="C35" s="106"/>
      <c r="D35" s="106"/>
      <c r="E35" s="38"/>
      <c r="F35" s="118"/>
      <c r="G35" s="6">
        <f>(5893.9*36.744)/1000000</f>
        <v>0.21656546159999998</v>
      </c>
      <c r="H35" s="13"/>
      <c r="I35" s="106"/>
      <c r="J35" s="6">
        <f>((5734398*0.907185)*36.744)/1000000</f>
        <v>191.14816151480471</v>
      </c>
      <c r="K35" s="37"/>
      <c r="L35" s="6">
        <f>(8559125.5*36.744)/1000000</f>
        <v>314.496507372</v>
      </c>
      <c r="M35" s="6"/>
      <c r="N35" s="13"/>
    </row>
    <row r="36" spans="1:73" ht="16.5" customHeight="1" x14ac:dyDescent="0.25">
      <c r="A36" s="16" t="s">
        <v>44</v>
      </c>
      <c r="B36" s="106"/>
      <c r="C36" s="106"/>
      <c r="D36" s="106"/>
      <c r="E36" s="38"/>
      <c r="F36" s="118"/>
      <c r="G36" s="6">
        <f>(27761.8*36.744)/1000000</f>
        <v>1.0200795791999999</v>
      </c>
      <c r="H36" s="13"/>
      <c r="I36" s="106"/>
      <c r="J36" s="6">
        <f>((5306995*0.907185)*36.744)/1000000</f>
        <v>176.9012784634518</v>
      </c>
      <c r="K36" s="37"/>
      <c r="L36" s="6">
        <f>(5374314*36.744)/1000000</f>
        <v>197.47379361599999</v>
      </c>
      <c r="M36" s="6"/>
      <c r="N36" s="13"/>
      <c r="P36" s="40"/>
    </row>
    <row r="37" spans="1:73" ht="16.5" customHeight="1" x14ac:dyDescent="0.25">
      <c r="A37" s="16" t="s">
        <v>45</v>
      </c>
      <c r="B37" s="106"/>
      <c r="C37" s="106"/>
      <c r="D37" s="106"/>
      <c r="E37" s="38">
        <f>N33</f>
        <v>3021.152</v>
      </c>
      <c r="F37" s="118"/>
      <c r="G37" s="6">
        <f>SUM(G34:G36)</f>
        <v>2.560064712</v>
      </c>
      <c r="H37" s="13">
        <f>SUM(E37:G37)</f>
        <v>3023.712064712</v>
      </c>
      <c r="I37" s="106"/>
      <c r="J37" s="6">
        <f>SUM(J34:J36)</f>
        <v>555.4696710391006</v>
      </c>
      <c r="K37" s="37">
        <f>M37-L37-J37</f>
        <v>-23.167298645500523</v>
      </c>
      <c r="L37" s="6">
        <f>SUM(L34:L36)</f>
        <v>804.77769231839989</v>
      </c>
      <c r="M37" s="6">
        <f>H37-N37</f>
        <v>1337.080064712</v>
      </c>
      <c r="N37" s="13">
        <f>1686.632</f>
        <v>1686.6320000000001</v>
      </c>
    </row>
    <row r="38" spans="1:73" ht="16.5" customHeight="1" x14ac:dyDescent="0.25">
      <c r="A38" s="16" t="s">
        <v>46</v>
      </c>
      <c r="B38" s="106"/>
      <c r="C38" s="106"/>
      <c r="D38" s="106"/>
      <c r="E38" s="38"/>
      <c r="F38" s="118"/>
      <c r="G38" s="6">
        <f>(34752.6*36.744)/1000000</f>
        <v>1.2769495343999999</v>
      </c>
      <c r="H38" s="13"/>
      <c r="I38" s="106"/>
      <c r="J38" s="6">
        <f>((5939012*0.907185)*36.744)/1000000</f>
        <v>197.9686838992277</v>
      </c>
      <c r="K38" s="37"/>
      <c r="L38" s="6">
        <f>(3135729.4*36.744)/1000000</f>
        <v>115.21924107359999</v>
      </c>
      <c r="M38" s="6"/>
      <c r="N38" s="13"/>
    </row>
    <row r="39" spans="1:73" ht="16.5" customHeight="1" x14ac:dyDescent="0.25">
      <c r="A39" s="16" t="s">
        <v>47</v>
      </c>
      <c r="B39" s="106"/>
      <c r="C39" s="106"/>
      <c r="D39" s="106"/>
      <c r="E39" s="38"/>
      <c r="F39" s="118"/>
      <c r="G39" s="6">
        <f>(8485.3*36.744)/1000000</f>
        <v>0.31178386319999996</v>
      </c>
      <c r="H39" s="13"/>
      <c r="I39" s="106"/>
      <c r="J39" s="6">
        <f>((5609607*0.907185)*36.744)/1000000</f>
        <v>186.98842753338349</v>
      </c>
      <c r="K39" s="37"/>
      <c r="L39" s="6">
        <f>(2554266.9*36.744)/1000000</f>
        <v>93.853982973599997</v>
      </c>
      <c r="M39" s="6"/>
      <c r="N39" s="13"/>
    </row>
    <row r="40" spans="1:73" ht="16.5" customHeight="1" x14ac:dyDescent="0.25">
      <c r="A40" s="16" t="s">
        <v>48</v>
      </c>
      <c r="B40" s="106"/>
      <c r="C40" s="106"/>
      <c r="D40" s="106"/>
      <c r="E40" s="38"/>
      <c r="F40" s="118"/>
      <c r="G40" s="6">
        <f>(126995.3*36.744)/1000000</f>
        <v>4.6663153032000002</v>
      </c>
      <c r="H40" s="13"/>
      <c r="I40" s="106"/>
      <c r="J40" s="6">
        <f>((5679096*0.907185)*36.744)/1000000</f>
        <v>189.30474645570143</v>
      </c>
      <c r="K40" s="37"/>
      <c r="L40" s="6">
        <f>(986447.6*36.744)/1000000</f>
        <v>36.246030614399999</v>
      </c>
      <c r="M40" s="6"/>
      <c r="N40" s="13"/>
    </row>
    <row r="41" spans="1:73" ht="16.5" customHeight="1" x14ac:dyDescent="0.25">
      <c r="A41" s="16" t="s">
        <v>49</v>
      </c>
      <c r="B41" s="106"/>
      <c r="C41" s="106"/>
      <c r="D41" s="106"/>
      <c r="E41" s="38">
        <f>N37</f>
        <v>1686.6320000000001</v>
      </c>
      <c r="F41" s="118"/>
      <c r="G41" s="6">
        <f>SUM(G38:G40)</f>
        <v>6.2550487007999998</v>
      </c>
      <c r="H41" s="13">
        <f>SUM(E41:G41)</f>
        <v>1692.8870487008001</v>
      </c>
      <c r="I41" s="106"/>
      <c r="J41" s="6">
        <f>SUM(J38:J40)</f>
        <v>574.26185788831265</v>
      </c>
      <c r="K41" s="37">
        <f>M41-L41-J41</f>
        <v>77.734936150887393</v>
      </c>
      <c r="L41" s="6">
        <f>SUM(L38:L40)</f>
        <v>245.31925466159998</v>
      </c>
      <c r="M41" s="6">
        <f>H41-N41</f>
        <v>897.31604870080002</v>
      </c>
      <c r="N41" s="13">
        <f>795.571</f>
        <v>795.57100000000003</v>
      </c>
    </row>
    <row r="42" spans="1:73" ht="16.5" customHeight="1" x14ac:dyDescent="0.25">
      <c r="A42" s="16" t="s">
        <v>28</v>
      </c>
      <c r="B42" s="106"/>
      <c r="C42" s="106"/>
      <c r="D42" s="106"/>
      <c r="E42" s="38"/>
      <c r="F42" s="118"/>
      <c r="G42" s="6">
        <f>SUM(G33,G37,G41)</f>
        <v>12.5145250536</v>
      </c>
      <c r="H42" s="138"/>
      <c r="I42" s="106"/>
      <c r="J42" s="6">
        <f>SUM(J33,J37,J41)</f>
        <v>1683.5720199908587</v>
      </c>
      <c r="K42" s="37"/>
      <c r="L42" s="6">
        <f>SUM(L33,L37,L41)</f>
        <v>1851.8590812647999</v>
      </c>
      <c r="M42" s="6"/>
      <c r="N42" s="13"/>
    </row>
    <row r="43" spans="1:73" ht="16.5" customHeight="1" x14ac:dyDescent="0.25">
      <c r="A43" s="101" t="s">
        <v>55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102"/>
      <c r="M43" s="82"/>
      <c r="N43" s="82"/>
    </row>
    <row r="44" spans="1:73" ht="16.5" customHeight="1" x14ac:dyDescent="0.3">
      <c r="A44" s="16" t="s">
        <v>149</v>
      </c>
      <c r="B44" s="16"/>
      <c r="C44" s="16"/>
      <c r="D44" s="16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73" ht="16.5" customHeight="1" x14ac:dyDescent="0.25">
      <c r="A45" s="21" t="s">
        <v>56</v>
      </c>
      <c r="B45" s="43">
        <f>Contents!A16</f>
        <v>45121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06"/>
      <c r="P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</row>
    <row r="46" spans="1:73" x14ac:dyDescent="0.25">
      <c r="O46" s="106"/>
      <c r="P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</row>
    <row r="47" spans="1:73" x14ac:dyDescent="0.25">
      <c r="O47" s="106"/>
      <c r="P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</row>
    <row r="48" spans="1:73" x14ac:dyDescent="0.25">
      <c r="O48" s="106"/>
      <c r="P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</row>
    <row r="49" spans="10:73" x14ac:dyDescent="0.25">
      <c r="O49" s="106"/>
      <c r="P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</row>
    <row r="50" spans="10:73" x14ac:dyDescent="0.25">
      <c r="J50" s="40"/>
      <c r="L50" s="40"/>
      <c r="O50" s="106"/>
      <c r="P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</row>
    <row r="51" spans="10:73" x14ac:dyDescent="0.25">
      <c r="J51" s="40"/>
      <c r="L51" s="40"/>
      <c r="O51" s="106"/>
      <c r="P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</row>
    <row r="52" spans="10:73" x14ac:dyDescent="0.25">
      <c r="J52" s="40"/>
      <c r="L52" s="40"/>
      <c r="O52" s="106"/>
      <c r="P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</row>
    <row r="53" spans="10:73" x14ac:dyDescent="0.25">
      <c r="O53" s="106"/>
      <c r="P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</row>
    <row r="54" spans="10:73" x14ac:dyDescent="0.25">
      <c r="O54" s="106"/>
      <c r="P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</row>
    <row r="55" spans="10:73" x14ac:dyDescent="0.25">
      <c r="O55" s="106"/>
      <c r="P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</row>
    <row r="56" spans="10:73" x14ac:dyDescent="0.25">
      <c r="O56" s="106"/>
      <c r="P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</row>
    <row r="57" spans="10:73" x14ac:dyDescent="0.25">
      <c r="O57" s="106"/>
      <c r="P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</row>
    <row r="58" spans="10:73" x14ac:dyDescent="0.25">
      <c r="O58" s="106"/>
      <c r="P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</row>
    <row r="59" spans="10:73" x14ac:dyDescent="0.25">
      <c r="O59" s="106"/>
      <c r="P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</row>
    <row r="60" spans="10:73" x14ac:dyDescent="0.25">
      <c r="O60" s="106"/>
      <c r="P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</row>
    <row r="61" spans="10:73" x14ac:dyDescent="0.25">
      <c r="O61" s="106"/>
      <c r="P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</row>
    <row r="62" spans="10:73" x14ac:dyDescent="0.25">
      <c r="O62" s="106"/>
      <c r="P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</row>
    <row r="63" spans="10:73" x14ac:dyDescent="0.25">
      <c r="O63" s="106"/>
      <c r="P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</row>
    <row r="64" spans="10:73" x14ac:dyDescent="0.25">
      <c r="O64" s="106"/>
      <c r="P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</row>
    <row r="65" spans="15:73" x14ac:dyDescent="0.25">
      <c r="O65" s="106"/>
      <c r="P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</row>
    <row r="66" spans="15:73" x14ac:dyDescent="0.25">
      <c r="O66" s="106"/>
      <c r="P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</row>
    <row r="67" spans="15:73" x14ac:dyDescent="0.25">
      <c r="O67" s="106"/>
      <c r="P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</row>
    <row r="68" spans="15:73" x14ac:dyDescent="0.25">
      <c r="O68" s="106"/>
      <c r="P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</row>
    <row r="69" spans="15:73" x14ac:dyDescent="0.25">
      <c r="O69" s="106"/>
      <c r="P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</row>
    <row r="70" spans="15:73" x14ac:dyDescent="0.25">
      <c r="O70" s="106"/>
      <c r="P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</row>
    <row r="71" spans="15:73" x14ac:dyDescent="0.25">
      <c r="O71" s="106"/>
      <c r="P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</row>
    <row r="72" spans="15:73" x14ac:dyDescent="0.25">
      <c r="O72" s="106"/>
      <c r="P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</row>
    <row r="73" spans="15:73" x14ac:dyDescent="0.25"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</row>
    <row r="74" spans="15:73" x14ac:dyDescent="0.25"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</row>
    <row r="75" spans="15:73" x14ac:dyDescent="0.25"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</row>
    <row r="76" spans="15:73" x14ac:dyDescent="0.25"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</row>
    <row r="77" spans="15:73" x14ac:dyDescent="0.25"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</row>
    <row r="78" spans="15:73" x14ac:dyDescent="0.25"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</row>
    <row r="79" spans="15:73" x14ac:dyDescent="0.25"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</row>
    <row r="80" spans="15:73" x14ac:dyDescent="0.25"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</row>
    <row r="81" spans="15:73" x14ac:dyDescent="0.25"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</row>
    <row r="82" spans="15:73" x14ac:dyDescent="0.25"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</row>
    <row r="83" spans="15:73" x14ac:dyDescent="0.25"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</row>
    <row r="84" spans="15:73" x14ac:dyDescent="0.25"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</row>
    <row r="85" spans="15:73" x14ac:dyDescent="0.25"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</row>
    <row r="86" spans="15:73" x14ac:dyDescent="0.25"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</row>
    <row r="87" spans="15:73" x14ac:dyDescent="0.25"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</row>
    <row r="88" spans="15:73" x14ac:dyDescent="0.25"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</row>
    <row r="89" spans="15:73" x14ac:dyDescent="0.25"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</row>
    <row r="90" spans="15:73" x14ac:dyDescent="0.25"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</row>
    <row r="91" spans="15:73" x14ac:dyDescent="0.25"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</row>
    <row r="92" spans="15:73" x14ac:dyDescent="0.25"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</row>
    <row r="93" spans="15:73" x14ac:dyDescent="0.25"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</row>
    <row r="94" spans="15:73" x14ac:dyDescent="0.25"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</row>
    <row r="95" spans="15:73" x14ac:dyDescent="0.25"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</row>
    <row r="96" spans="15:73" x14ac:dyDescent="0.25"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</row>
    <row r="97" spans="15:73" x14ac:dyDescent="0.25"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</row>
    <row r="98" spans="15:73" x14ac:dyDescent="0.25"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</row>
    <row r="99" spans="15:73" x14ac:dyDescent="0.25"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</row>
    <row r="100" spans="15:73" x14ac:dyDescent="0.25"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</row>
    <row r="101" spans="15:73" x14ac:dyDescent="0.25"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</row>
    <row r="102" spans="15:73" x14ac:dyDescent="0.25"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</row>
    <row r="103" spans="15:73" x14ac:dyDescent="0.25"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</row>
    <row r="104" spans="15:73" x14ac:dyDescent="0.25"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</row>
    <row r="105" spans="15:73" x14ac:dyDescent="0.25"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</row>
    <row r="106" spans="15:73" x14ac:dyDescent="0.25"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</row>
    <row r="107" spans="15:73" x14ac:dyDescent="0.25"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</row>
    <row r="108" spans="15:73" x14ac:dyDescent="0.25"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</row>
    <row r="109" spans="15:73" x14ac:dyDescent="0.25"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</row>
    <row r="110" spans="15:73" x14ac:dyDescent="0.25"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</row>
    <row r="111" spans="15:73" x14ac:dyDescent="0.25"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</row>
    <row r="112" spans="15:73" x14ac:dyDescent="0.25"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</row>
    <row r="113" spans="15:73" x14ac:dyDescent="0.25"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</row>
    <row r="114" spans="15:73" x14ac:dyDescent="0.25"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</row>
    <row r="115" spans="15:73" x14ac:dyDescent="0.25"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</row>
    <row r="116" spans="15:73" x14ac:dyDescent="0.25"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</row>
    <row r="117" spans="15:73" x14ac:dyDescent="0.25"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</row>
    <row r="118" spans="15:73" x14ac:dyDescent="0.25"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</row>
    <row r="119" spans="15:73" x14ac:dyDescent="0.25"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</row>
    <row r="120" spans="15:73" x14ac:dyDescent="0.25"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</row>
    <row r="121" spans="15:73" x14ac:dyDescent="0.25"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</row>
    <row r="122" spans="15:73" x14ac:dyDescent="0.25"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</row>
    <row r="123" spans="15:73" x14ac:dyDescent="0.25"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</row>
    <row r="124" spans="15:73" x14ac:dyDescent="0.25"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</row>
    <row r="125" spans="15:73" x14ac:dyDescent="0.25"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</row>
    <row r="126" spans="15:73" x14ac:dyDescent="0.25"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</row>
    <row r="127" spans="15:73" x14ac:dyDescent="0.25"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</row>
    <row r="128" spans="15:73" x14ac:dyDescent="0.25"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</row>
    <row r="129" spans="15:73" x14ac:dyDescent="0.25"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</row>
    <row r="130" spans="15:73" x14ac:dyDescent="0.25"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</row>
    <row r="131" spans="15:73" x14ac:dyDescent="0.25"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</row>
    <row r="132" spans="15:73" x14ac:dyDescent="0.25"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</row>
    <row r="133" spans="15:73" x14ac:dyDescent="0.25"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</row>
    <row r="134" spans="15:73" x14ac:dyDescent="0.25"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</row>
    <row r="135" spans="15:73" x14ac:dyDescent="0.25"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</row>
    <row r="136" spans="15:73" x14ac:dyDescent="0.25"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</row>
    <row r="137" spans="15:73" x14ac:dyDescent="0.25"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</row>
    <row r="138" spans="15:73" x14ac:dyDescent="0.25"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</row>
    <row r="139" spans="15:73" x14ac:dyDescent="0.25"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</row>
    <row r="140" spans="15:73" x14ac:dyDescent="0.25"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</row>
    <row r="141" spans="15:73" x14ac:dyDescent="0.25"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</row>
    <row r="142" spans="15:73" x14ac:dyDescent="0.25"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</row>
    <row r="143" spans="15:73" x14ac:dyDescent="0.25"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</row>
    <row r="144" spans="15:73" x14ac:dyDescent="0.25"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</row>
    <row r="145" spans="15:73" x14ac:dyDescent="0.25"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</row>
    <row r="146" spans="15:73" x14ac:dyDescent="0.25"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</row>
    <row r="147" spans="15:73" x14ac:dyDescent="0.25"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</row>
    <row r="148" spans="15:73" x14ac:dyDescent="0.25"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</row>
    <row r="149" spans="15:73" x14ac:dyDescent="0.25"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</row>
    <row r="150" spans="15:73" x14ac:dyDescent="0.25"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</row>
    <row r="151" spans="15:73" x14ac:dyDescent="0.25"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</row>
    <row r="152" spans="15:73" x14ac:dyDescent="0.25"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</row>
    <row r="153" spans="15:73" x14ac:dyDescent="0.25"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</row>
    <row r="154" spans="15:73" x14ac:dyDescent="0.25"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</row>
    <row r="155" spans="15:73" x14ac:dyDescent="0.25"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</row>
    <row r="156" spans="15:73" x14ac:dyDescent="0.25"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</row>
    <row r="157" spans="15:73" x14ac:dyDescent="0.25"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</row>
    <row r="158" spans="15:73" x14ac:dyDescent="0.25"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</row>
    <row r="159" spans="15:73" x14ac:dyDescent="0.25"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</row>
    <row r="160" spans="15:73" x14ac:dyDescent="0.25"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</row>
    <row r="161" spans="15:73" x14ac:dyDescent="0.25"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</row>
    <row r="162" spans="15:73" x14ac:dyDescent="0.25"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</row>
    <row r="163" spans="15:73" x14ac:dyDescent="0.25"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</row>
    <row r="164" spans="15:73" x14ac:dyDescent="0.25"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</row>
    <row r="165" spans="15:73" x14ac:dyDescent="0.25"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</row>
    <row r="166" spans="15:73" x14ac:dyDescent="0.25"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</row>
    <row r="167" spans="15:73" x14ac:dyDescent="0.25"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</row>
    <row r="168" spans="15:73" x14ac:dyDescent="0.25"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</row>
    <row r="169" spans="15:73" x14ac:dyDescent="0.25"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</row>
    <row r="170" spans="15:73" x14ac:dyDescent="0.25"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</row>
    <row r="171" spans="15:73" x14ac:dyDescent="0.25"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</row>
    <row r="172" spans="15:73" x14ac:dyDescent="0.25"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</row>
    <row r="173" spans="15:73" x14ac:dyDescent="0.25"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</row>
    <row r="174" spans="15:73" x14ac:dyDescent="0.25"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</row>
    <row r="175" spans="15:73" x14ac:dyDescent="0.25"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</row>
    <row r="176" spans="15:73" x14ac:dyDescent="0.25"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</row>
    <row r="177" spans="15:73" x14ac:dyDescent="0.25"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</row>
    <row r="178" spans="15:73" x14ac:dyDescent="0.25"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</row>
    <row r="179" spans="15:73" x14ac:dyDescent="0.25"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</row>
    <row r="180" spans="15:73" x14ac:dyDescent="0.25"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</row>
    <row r="181" spans="15:73" x14ac:dyDescent="0.25"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</row>
    <row r="182" spans="15:73" x14ac:dyDescent="0.25"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</row>
    <row r="183" spans="15:73" x14ac:dyDescent="0.25"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</row>
    <row r="184" spans="15:73" x14ac:dyDescent="0.25"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</row>
    <row r="185" spans="15:73" x14ac:dyDescent="0.25"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</row>
    <row r="186" spans="15:73" x14ac:dyDescent="0.25"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</row>
    <row r="187" spans="15:73" x14ac:dyDescent="0.25"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</row>
    <row r="188" spans="15:73" x14ac:dyDescent="0.25"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</row>
    <row r="189" spans="15:73" x14ac:dyDescent="0.25"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</row>
    <row r="190" spans="15:73" x14ac:dyDescent="0.25"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</row>
    <row r="191" spans="15:73" x14ac:dyDescent="0.25"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</row>
    <row r="192" spans="15:73" x14ac:dyDescent="0.25"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</row>
    <row r="193" spans="15:73" x14ac:dyDescent="0.25"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</row>
    <row r="194" spans="15:73" x14ac:dyDescent="0.25"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</row>
    <row r="195" spans="15:73" x14ac:dyDescent="0.25"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15:73" x14ac:dyDescent="0.25"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15:73" x14ac:dyDescent="0.25"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15:73" x14ac:dyDescent="0.25"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15:73" x14ac:dyDescent="0.25"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15:73" x14ac:dyDescent="0.25"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15:73" x14ac:dyDescent="0.25"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</row>
    <row r="202" spans="15:73" x14ac:dyDescent="0.25"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</row>
    <row r="203" spans="15:73" x14ac:dyDescent="0.25"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</row>
    <row r="204" spans="15:73" x14ac:dyDescent="0.25"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</row>
    <row r="205" spans="15:73" x14ac:dyDescent="0.25"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</row>
    <row r="206" spans="15:73" x14ac:dyDescent="0.25"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</row>
    <row r="207" spans="15:73" x14ac:dyDescent="0.25"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</row>
    <row r="208" spans="15:73" x14ac:dyDescent="0.25"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</row>
    <row r="209" spans="15:73" x14ac:dyDescent="0.25"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15:73" x14ac:dyDescent="0.25"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15:73" x14ac:dyDescent="0.25"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15:73" x14ac:dyDescent="0.25"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15:73" x14ac:dyDescent="0.25"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15:73" x14ac:dyDescent="0.25"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</row>
    <row r="215" spans="15:73" x14ac:dyDescent="0.25"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</row>
    <row r="216" spans="15:73" x14ac:dyDescent="0.25"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</row>
    <row r="217" spans="15:73" x14ac:dyDescent="0.25"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</row>
    <row r="218" spans="15:73" x14ac:dyDescent="0.25"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</row>
    <row r="219" spans="15:73" x14ac:dyDescent="0.25"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</row>
    <row r="220" spans="15:73" x14ac:dyDescent="0.25"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</row>
    <row r="221" spans="15:73" x14ac:dyDescent="0.25"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</row>
    <row r="222" spans="15:73" x14ac:dyDescent="0.25"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</row>
    <row r="223" spans="15:73" x14ac:dyDescent="0.25"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</row>
    <row r="224" spans="15:73" x14ac:dyDescent="0.25"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</row>
    <row r="225" spans="15:73" x14ac:dyDescent="0.25"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</row>
    <row r="226" spans="15:73" x14ac:dyDescent="0.25"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</row>
    <row r="227" spans="15:73" x14ac:dyDescent="0.25"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</row>
    <row r="228" spans="15:73" x14ac:dyDescent="0.25"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</row>
    <row r="229" spans="15:73" x14ac:dyDescent="0.25"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</row>
    <row r="230" spans="15:73" x14ac:dyDescent="0.25"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</row>
    <row r="231" spans="15:73" x14ac:dyDescent="0.25"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</row>
    <row r="232" spans="15:73" x14ac:dyDescent="0.25"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</row>
    <row r="233" spans="15:73" x14ac:dyDescent="0.25"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</row>
    <row r="234" spans="15:73" x14ac:dyDescent="0.25"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</row>
    <row r="235" spans="15:73" x14ac:dyDescent="0.25"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</row>
    <row r="236" spans="15:73" x14ac:dyDescent="0.25"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</row>
    <row r="237" spans="15:73" x14ac:dyDescent="0.25"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</row>
    <row r="238" spans="15:73" x14ac:dyDescent="0.25"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</row>
    <row r="239" spans="15:73" x14ac:dyDescent="0.25"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</row>
    <row r="240" spans="15:73" x14ac:dyDescent="0.25"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</row>
    <row r="241" spans="15:73" x14ac:dyDescent="0.25"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</row>
    <row r="242" spans="15:73" x14ac:dyDescent="0.25"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</row>
    <row r="243" spans="15:73" x14ac:dyDescent="0.25"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</row>
    <row r="244" spans="15:73" x14ac:dyDescent="0.25"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</row>
    <row r="245" spans="15:73" x14ac:dyDescent="0.25"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  <c r="BJ245" s="106"/>
      <c r="BK245" s="106"/>
      <c r="BL245" s="106"/>
      <c r="BM245" s="106"/>
      <c r="BN245" s="106"/>
      <c r="BO245" s="106"/>
      <c r="BP245" s="106"/>
      <c r="BQ245" s="106"/>
      <c r="BR245" s="106"/>
      <c r="BS245" s="106"/>
      <c r="BT245" s="106"/>
      <c r="BU245" s="106"/>
    </row>
    <row r="246" spans="15:73" x14ac:dyDescent="0.25"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  <c r="BJ246" s="106"/>
      <c r="BK246" s="106"/>
      <c r="BL246" s="106"/>
      <c r="BM246" s="106"/>
      <c r="BN246" s="106"/>
      <c r="BO246" s="106"/>
      <c r="BP246" s="106"/>
      <c r="BQ246" s="106"/>
      <c r="BR246" s="106"/>
      <c r="BS246" s="106"/>
      <c r="BT246" s="106"/>
      <c r="BU246" s="106"/>
    </row>
    <row r="247" spans="15:73" x14ac:dyDescent="0.25"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  <c r="BJ247" s="106"/>
      <c r="BK247" s="106"/>
      <c r="BL247" s="106"/>
      <c r="BM247" s="106"/>
      <c r="BN247" s="106"/>
      <c r="BO247" s="106"/>
      <c r="BP247" s="106"/>
      <c r="BQ247" s="106"/>
      <c r="BR247" s="106"/>
      <c r="BS247" s="106"/>
      <c r="BT247" s="106"/>
      <c r="BU247" s="106"/>
    </row>
    <row r="248" spans="15:73" x14ac:dyDescent="0.25"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  <c r="BJ248" s="106"/>
      <c r="BK248" s="106"/>
      <c r="BL248" s="106"/>
      <c r="BM248" s="106"/>
      <c r="BN248" s="106"/>
      <c r="BO248" s="106"/>
      <c r="BP248" s="106"/>
      <c r="BQ248" s="106"/>
      <c r="BR248" s="106"/>
      <c r="BS248" s="106"/>
      <c r="BT248" s="106"/>
      <c r="BU248" s="106"/>
    </row>
    <row r="249" spans="15:73" x14ac:dyDescent="0.25"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6"/>
      <c r="BR249" s="106"/>
      <c r="BS249" s="106"/>
      <c r="BT249" s="106"/>
      <c r="BU249" s="106"/>
    </row>
    <row r="250" spans="15:73" x14ac:dyDescent="0.25"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  <c r="BJ250" s="106"/>
      <c r="BK250" s="106"/>
      <c r="BL250" s="106"/>
      <c r="BM250" s="106"/>
      <c r="BN250" s="106"/>
      <c r="BO250" s="106"/>
      <c r="BP250" s="106"/>
      <c r="BQ250" s="106"/>
      <c r="BR250" s="106"/>
      <c r="BS250" s="106"/>
      <c r="BT250" s="106"/>
      <c r="BU250" s="106"/>
    </row>
    <row r="251" spans="15:73" x14ac:dyDescent="0.25"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  <c r="BJ251" s="106"/>
      <c r="BK251" s="106"/>
      <c r="BL251" s="106"/>
      <c r="BM251" s="106"/>
      <c r="BN251" s="106"/>
      <c r="BO251" s="106"/>
      <c r="BP251" s="106"/>
      <c r="BQ251" s="106"/>
      <c r="BR251" s="106"/>
      <c r="BS251" s="106"/>
      <c r="BT251" s="106"/>
      <c r="BU251" s="106"/>
    </row>
    <row r="252" spans="15:73" x14ac:dyDescent="0.25"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</row>
    <row r="253" spans="15:73" x14ac:dyDescent="0.25"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</row>
    <row r="254" spans="15:73" x14ac:dyDescent="0.25"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  <c r="BJ254" s="106"/>
      <c r="BK254" s="106"/>
      <c r="BL254" s="106"/>
      <c r="BM254" s="106"/>
      <c r="BN254" s="106"/>
      <c r="BO254" s="106"/>
      <c r="BP254" s="106"/>
      <c r="BQ254" s="106"/>
      <c r="BR254" s="106"/>
      <c r="BS254" s="106"/>
      <c r="BT254" s="106"/>
      <c r="BU254" s="106"/>
    </row>
    <row r="255" spans="15:73" x14ac:dyDescent="0.25"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6"/>
      <c r="BQ255" s="106"/>
      <c r="BR255" s="106"/>
      <c r="BS255" s="106"/>
      <c r="BT255" s="106"/>
      <c r="BU255" s="106"/>
    </row>
    <row r="256" spans="15:73" x14ac:dyDescent="0.25"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  <c r="BJ256" s="106"/>
      <c r="BK256" s="106"/>
      <c r="BL256" s="106"/>
      <c r="BM256" s="106"/>
      <c r="BN256" s="106"/>
      <c r="BO256" s="106"/>
      <c r="BP256" s="106"/>
      <c r="BQ256" s="106"/>
      <c r="BR256" s="106"/>
      <c r="BS256" s="106"/>
      <c r="BT256" s="106"/>
      <c r="BU256" s="106"/>
    </row>
    <row r="257" spans="15:73" x14ac:dyDescent="0.25"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  <c r="BJ257" s="106"/>
      <c r="BK257" s="106"/>
      <c r="BL257" s="106"/>
      <c r="BM257" s="106"/>
      <c r="BN257" s="106"/>
      <c r="BO257" s="106"/>
      <c r="BP257" s="106"/>
      <c r="BQ257" s="106"/>
      <c r="BR257" s="106"/>
      <c r="BS257" s="106"/>
      <c r="BT257" s="106"/>
      <c r="BU257" s="106"/>
    </row>
    <row r="258" spans="15:73" x14ac:dyDescent="0.25"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106"/>
      <c r="BR258" s="106"/>
      <c r="BS258" s="106"/>
      <c r="BT258" s="106"/>
      <c r="BU258" s="106"/>
    </row>
    <row r="259" spans="15:73" x14ac:dyDescent="0.25"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</row>
    <row r="260" spans="15:73" x14ac:dyDescent="0.25"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</row>
    <row r="261" spans="15:73" x14ac:dyDescent="0.25"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</row>
    <row r="262" spans="15:73" x14ac:dyDescent="0.25"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  <c r="BJ262" s="106"/>
      <c r="BK262" s="106"/>
      <c r="BL262" s="106"/>
      <c r="BM262" s="106"/>
      <c r="BN262" s="106"/>
      <c r="BO262" s="106"/>
      <c r="BP262" s="106"/>
      <c r="BQ262" s="106"/>
      <c r="BR262" s="106"/>
      <c r="BS262" s="106"/>
      <c r="BT262" s="106"/>
      <c r="BU262" s="106"/>
    </row>
    <row r="263" spans="15:73" x14ac:dyDescent="0.25"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</row>
    <row r="264" spans="15:73" x14ac:dyDescent="0.25"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  <c r="BJ264" s="106"/>
      <c r="BK264" s="106"/>
      <c r="BL264" s="106"/>
      <c r="BM264" s="106"/>
      <c r="BN264" s="106"/>
      <c r="BO264" s="106"/>
      <c r="BP264" s="106"/>
      <c r="BQ264" s="106"/>
      <c r="BR264" s="106"/>
      <c r="BS264" s="106"/>
      <c r="BT264" s="106"/>
      <c r="BU264" s="106"/>
    </row>
    <row r="265" spans="15:73" x14ac:dyDescent="0.25"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  <c r="BJ265" s="106"/>
      <c r="BK265" s="106"/>
      <c r="BL265" s="106"/>
      <c r="BM265" s="106"/>
      <c r="BN265" s="106"/>
      <c r="BO265" s="106"/>
      <c r="BP265" s="106"/>
      <c r="BQ265" s="106"/>
      <c r="BR265" s="106"/>
      <c r="BS265" s="106"/>
      <c r="BT265" s="106"/>
      <c r="BU265" s="106"/>
    </row>
    <row r="266" spans="15:73" x14ac:dyDescent="0.25"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</row>
    <row r="267" spans="15:73" x14ac:dyDescent="0.25"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</row>
    <row r="268" spans="15:73" x14ac:dyDescent="0.25"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  <c r="BJ268" s="106"/>
      <c r="BK268" s="106"/>
      <c r="BL268" s="106"/>
      <c r="BM268" s="106"/>
      <c r="BN268" s="106"/>
      <c r="BO268" s="106"/>
      <c r="BP268" s="106"/>
      <c r="BQ268" s="106"/>
      <c r="BR268" s="106"/>
      <c r="BS268" s="106"/>
      <c r="BT268" s="106"/>
      <c r="BU268" s="106"/>
    </row>
    <row r="269" spans="15:73" x14ac:dyDescent="0.25"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</row>
    <row r="270" spans="15:73" x14ac:dyDescent="0.25"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</row>
    <row r="271" spans="15:73" x14ac:dyDescent="0.25"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  <c r="BJ271" s="106"/>
      <c r="BK271" s="106"/>
      <c r="BL271" s="106"/>
      <c r="BM271" s="106"/>
      <c r="BN271" s="106"/>
      <c r="BO271" s="106"/>
      <c r="BP271" s="106"/>
      <c r="BQ271" s="106"/>
      <c r="BR271" s="106"/>
      <c r="BS271" s="106"/>
      <c r="BT271" s="106"/>
      <c r="BU271" s="106"/>
    </row>
    <row r="272" spans="15:73" x14ac:dyDescent="0.25"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  <c r="BJ272" s="106"/>
      <c r="BK272" s="106"/>
      <c r="BL272" s="106"/>
      <c r="BM272" s="106"/>
      <c r="BN272" s="106"/>
      <c r="BO272" s="106"/>
      <c r="BP272" s="106"/>
      <c r="BQ272" s="106"/>
      <c r="BR272" s="106"/>
      <c r="BS272" s="106"/>
      <c r="BT272" s="106"/>
      <c r="BU272" s="106"/>
    </row>
    <row r="273" spans="15:73" x14ac:dyDescent="0.25"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</row>
    <row r="274" spans="15:73" x14ac:dyDescent="0.25"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</row>
    <row r="275" spans="15:73" x14ac:dyDescent="0.25"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</row>
    <row r="276" spans="15:73" x14ac:dyDescent="0.25"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</row>
    <row r="277" spans="15:73" x14ac:dyDescent="0.25"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</row>
    <row r="278" spans="15:73" x14ac:dyDescent="0.25"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  <c r="BJ278" s="106"/>
      <c r="BK278" s="106"/>
      <c r="BL278" s="106"/>
      <c r="BM278" s="106"/>
      <c r="BN278" s="106"/>
      <c r="BO278" s="106"/>
      <c r="BP278" s="106"/>
      <c r="BQ278" s="106"/>
      <c r="BR278" s="106"/>
      <c r="BS278" s="106"/>
      <c r="BT278" s="106"/>
      <c r="BU278" s="106"/>
    </row>
    <row r="279" spans="15:73" x14ac:dyDescent="0.25"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  <c r="BJ279" s="106"/>
      <c r="BK279" s="106"/>
      <c r="BL279" s="106"/>
      <c r="BM279" s="106"/>
      <c r="BN279" s="106"/>
      <c r="BO279" s="106"/>
      <c r="BP279" s="106"/>
      <c r="BQ279" s="106"/>
      <c r="BR279" s="106"/>
      <c r="BS279" s="106"/>
      <c r="BT279" s="106"/>
      <c r="BU279" s="106"/>
    </row>
    <row r="280" spans="15:73" x14ac:dyDescent="0.25"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6"/>
      <c r="BQ280" s="106"/>
      <c r="BR280" s="106"/>
      <c r="BS280" s="106"/>
      <c r="BT280" s="106"/>
      <c r="BU280" s="106"/>
    </row>
    <row r="281" spans="15:73" x14ac:dyDescent="0.25"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6"/>
      <c r="BQ281" s="106"/>
      <c r="BR281" s="106"/>
      <c r="BS281" s="106"/>
      <c r="BT281" s="106"/>
      <c r="BU281" s="106"/>
    </row>
    <row r="282" spans="15:73" x14ac:dyDescent="0.25"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</row>
    <row r="283" spans="15:73" x14ac:dyDescent="0.25"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6"/>
      <c r="BR283" s="106"/>
      <c r="BS283" s="106"/>
      <c r="BT283" s="106"/>
      <c r="BU283" s="106"/>
    </row>
    <row r="284" spans="15:73" x14ac:dyDescent="0.25"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6"/>
      <c r="BQ284" s="106"/>
      <c r="BR284" s="106"/>
      <c r="BS284" s="106"/>
      <c r="BT284" s="106"/>
      <c r="BU284" s="106"/>
    </row>
    <row r="285" spans="15:73" x14ac:dyDescent="0.25"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6"/>
      <c r="BQ285" s="106"/>
      <c r="BR285" s="106"/>
      <c r="BS285" s="106"/>
      <c r="BT285" s="106"/>
      <c r="BU285" s="106"/>
    </row>
    <row r="286" spans="15:73" x14ac:dyDescent="0.25"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6"/>
      <c r="BQ286" s="106"/>
      <c r="BR286" s="106"/>
      <c r="BS286" s="106"/>
      <c r="BT286" s="106"/>
      <c r="BU286" s="106"/>
    </row>
    <row r="287" spans="15:73" x14ac:dyDescent="0.25"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6"/>
      <c r="BQ287" s="106"/>
      <c r="BR287" s="106"/>
      <c r="BS287" s="106"/>
      <c r="BT287" s="106"/>
      <c r="BU287" s="106"/>
    </row>
    <row r="288" spans="15:73" x14ac:dyDescent="0.25"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6"/>
      <c r="BQ288" s="106"/>
      <c r="BR288" s="106"/>
      <c r="BS288" s="106"/>
      <c r="BT288" s="106"/>
      <c r="BU288" s="106"/>
    </row>
    <row r="289" spans="15:73" x14ac:dyDescent="0.25"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6"/>
      <c r="BQ289" s="106"/>
      <c r="BR289" s="106"/>
      <c r="BS289" s="106"/>
      <c r="BT289" s="106"/>
      <c r="BU289" s="106"/>
    </row>
    <row r="290" spans="15:73" x14ac:dyDescent="0.25"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</row>
    <row r="291" spans="15:73" x14ac:dyDescent="0.25"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6"/>
      <c r="BQ291" s="106"/>
      <c r="BR291" s="106"/>
      <c r="BS291" s="106"/>
      <c r="BT291" s="106"/>
      <c r="BU291" s="106"/>
    </row>
    <row r="292" spans="15:73" x14ac:dyDescent="0.25"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</row>
    <row r="293" spans="15:73" x14ac:dyDescent="0.25"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</row>
    <row r="294" spans="15:73" x14ac:dyDescent="0.25"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</row>
    <row r="295" spans="15:73" x14ac:dyDescent="0.25"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</row>
    <row r="296" spans="15:73" x14ac:dyDescent="0.25"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</row>
    <row r="297" spans="15:73" x14ac:dyDescent="0.25"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</row>
    <row r="298" spans="15:73" x14ac:dyDescent="0.25"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</row>
    <row r="299" spans="15:73" x14ac:dyDescent="0.25"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</row>
    <row r="300" spans="15:73" x14ac:dyDescent="0.25"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</row>
    <row r="301" spans="15:73" x14ac:dyDescent="0.25"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</row>
    <row r="302" spans="15:73" x14ac:dyDescent="0.25"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</row>
    <row r="303" spans="15:73" x14ac:dyDescent="0.25"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</row>
    <row r="304" spans="15:73" x14ac:dyDescent="0.25"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</row>
    <row r="305" spans="15:73" x14ac:dyDescent="0.25"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</row>
    <row r="306" spans="15:73" x14ac:dyDescent="0.25"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</row>
    <row r="307" spans="15:73" x14ac:dyDescent="0.25"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</row>
    <row r="308" spans="15:73" x14ac:dyDescent="0.25"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</row>
    <row r="309" spans="15:73" x14ac:dyDescent="0.25"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</row>
    <row r="310" spans="15:73" x14ac:dyDescent="0.25"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</row>
    <row r="311" spans="15:73" x14ac:dyDescent="0.25"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</row>
    <row r="312" spans="15:73" x14ac:dyDescent="0.25"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</row>
    <row r="313" spans="15:73" x14ac:dyDescent="0.25"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</row>
    <row r="314" spans="15:73" x14ac:dyDescent="0.25"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</row>
    <row r="315" spans="15:73" x14ac:dyDescent="0.25"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</row>
    <row r="316" spans="15:73" x14ac:dyDescent="0.25"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</row>
    <row r="317" spans="15:73" x14ac:dyDescent="0.25"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</row>
    <row r="318" spans="15:73" x14ac:dyDescent="0.25"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</row>
    <row r="319" spans="15:73" x14ac:dyDescent="0.25"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</row>
    <row r="320" spans="15:73" x14ac:dyDescent="0.25"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</row>
    <row r="321" spans="15:73" x14ac:dyDescent="0.25"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</row>
    <row r="322" spans="15:73" x14ac:dyDescent="0.25"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</row>
    <row r="323" spans="15:73" x14ac:dyDescent="0.25"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</row>
    <row r="324" spans="15:73" x14ac:dyDescent="0.25"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</row>
    <row r="325" spans="15:73" x14ac:dyDescent="0.25"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</row>
    <row r="326" spans="15:73" x14ac:dyDescent="0.25"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</row>
    <row r="327" spans="15:73" x14ac:dyDescent="0.25"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</row>
    <row r="328" spans="15:73" x14ac:dyDescent="0.25"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</row>
    <row r="329" spans="15:73" x14ac:dyDescent="0.25"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</row>
    <row r="330" spans="15:73" x14ac:dyDescent="0.25"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</row>
    <row r="331" spans="15:73" x14ac:dyDescent="0.25"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</row>
    <row r="332" spans="15:73" x14ac:dyDescent="0.25"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</row>
    <row r="333" spans="15:73" x14ac:dyDescent="0.25"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</row>
    <row r="334" spans="15:73" x14ac:dyDescent="0.25"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</row>
    <row r="335" spans="15:73" x14ac:dyDescent="0.25"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</row>
    <row r="336" spans="15:73" x14ac:dyDescent="0.25"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</row>
    <row r="337" spans="15:73" x14ac:dyDescent="0.25"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</row>
    <row r="338" spans="15:73" x14ac:dyDescent="0.25"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</row>
    <row r="339" spans="15:73" x14ac:dyDescent="0.25"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</row>
    <row r="340" spans="15:73" x14ac:dyDescent="0.25"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</row>
    <row r="341" spans="15:73" x14ac:dyDescent="0.25"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</row>
    <row r="342" spans="15:73" x14ac:dyDescent="0.25"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</row>
    <row r="343" spans="15:73" x14ac:dyDescent="0.25"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</row>
    <row r="344" spans="15:73" x14ac:dyDescent="0.25"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</row>
    <row r="345" spans="15:73" x14ac:dyDescent="0.25"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</row>
    <row r="346" spans="15:73" x14ac:dyDescent="0.25"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</row>
    <row r="347" spans="15:73" x14ac:dyDescent="0.25"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</row>
    <row r="348" spans="15:73" x14ac:dyDescent="0.25"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</row>
    <row r="349" spans="15:73" x14ac:dyDescent="0.25"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</row>
    <row r="350" spans="15:73" x14ac:dyDescent="0.25"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</row>
    <row r="351" spans="15:73" x14ac:dyDescent="0.25"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</row>
    <row r="352" spans="15:73" x14ac:dyDescent="0.25"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</row>
    <row r="353" spans="15:73" x14ac:dyDescent="0.25"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</row>
    <row r="354" spans="15:73" x14ac:dyDescent="0.25"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</row>
    <row r="355" spans="15:73" x14ac:dyDescent="0.25"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</row>
    <row r="356" spans="15:73" x14ac:dyDescent="0.25"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</row>
    <row r="357" spans="15:73" x14ac:dyDescent="0.25"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</row>
    <row r="358" spans="15:73" x14ac:dyDescent="0.25"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</row>
    <row r="359" spans="15:73" x14ac:dyDescent="0.25"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</row>
    <row r="360" spans="15:73" x14ac:dyDescent="0.25"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</row>
    <row r="361" spans="15:73" x14ac:dyDescent="0.25"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</row>
    <row r="362" spans="15:73" x14ac:dyDescent="0.25"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</row>
    <row r="363" spans="15:73" x14ac:dyDescent="0.25"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</row>
    <row r="364" spans="15:73" x14ac:dyDescent="0.25"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</row>
    <row r="365" spans="15:73" x14ac:dyDescent="0.25"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</row>
    <row r="366" spans="15:73" x14ac:dyDescent="0.25"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</row>
    <row r="367" spans="15:73" x14ac:dyDescent="0.25"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</row>
    <row r="368" spans="15:73" x14ac:dyDescent="0.25"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</row>
    <row r="369" spans="15:73" x14ac:dyDescent="0.25"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</row>
    <row r="370" spans="15:73" x14ac:dyDescent="0.25"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</row>
    <row r="371" spans="15:73" x14ac:dyDescent="0.25"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</row>
    <row r="372" spans="15:73" x14ac:dyDescent="0.25"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</row>
    <row r="373" spans="15:73" x14ac:dyDescent="0.25"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</row>
    <row r="374" spans="15:73" x14ac:dyDescent="0.25"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</row>
    <row r="375" spans="15:73" x14ac:dyDescent="0.25"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</row>
    <row r="376" spans="15:73" x14ac:dyDescent="0.25"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</row>
    <row r="377" spans="15:73" x14ac:dyDescent="0.25"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</row>
    <row r="378" spans="15:73" x14ac:dyDescent="0.25"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</row>
    <row r="379" spans="15:73" x14ac:dyDescent="0.25"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</row>
    <row r="380" spans="15:73" x14ac:dyDescent="0.25"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</row>
    <row r="381" spans="15:73" x14ac:dyDescent="0.25"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</row>
    <row r="382" spans="15:73" x14ac:dyDescent="0.25"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6"/>
      <c r="BI382" s="106"/>
      <c r="BJ382" s="106"/>
      <c r="BK382" s="106"/>
      <c r="BL382" s="106"/>
      <c r="BM382" s="106"/>
      <c r="BN382" s="106"/>
      <c r="BO382" s="106"/>
      <c r="BP382" s="106"/>
      <c r="BQ382" s="106"/>
      <c r="BR382" s="106"/>
      <c r="BS382" s="106"/>
      <c r="BT382" s="106"/>
      <c r="BU382" s="106"/>
    </row>
    <row r="383" spans="15:73" x14ac:dyDescent="0.25"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6"/>
      <c r="BI383" s="106"/>
      <c r="BJ383" s="106"/>
      <c r="BK383" s="106"/>
      <c r="BL383" s="106"/>
      <c r="BM383" s="106"/>
      <c r="BN383" s="106"/>
      <c r="BO383" s="106"/>
      <c r="BP383" s="106"/>
      <c r="BQ383" s="106"/>
      <c r="BR383" s="106"/>
      <c r="BS383" s="106"/>
      <c r="BT383" s="106"/>
      <c r="BU383" s="106"/>
    </row>
    <row r="384" spans="15:73" x14ac:dyDescent="0.25"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</row>
    <row r="385" spans="15:73" x14ac:dyDescent="0.25"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6"/>
      <c r="BI385" s="106"/>
      <c r="BJ385" s="106"/>
      <c r="BK385" s="106"/>
      <c r="BL385" s="106"/>
      <c r="BM385" s="106"/>
      <c r="BN385" s="106"/>
      <c r="BO385" s="106"/>
      <c r="BP385" s="106"/>
      <c r="BQ385" s="106"/>
      <c r="BR385" s="106"/>
      <c r="BS385" s="106"/>
      <c r="BT385" s="106"/>
      <c r="BU385" s="106"/>
    </row>
    <row r="386" spans="15:73" x14ac:dyDescent="0.25"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6"/>
      <c r="BI386" s="106"/>
      <c r="BJ386" s="106"/>
      <c r="BK386" s="106"/>
      <c r="BL386" s="106"/>
      <c r="BM386" s="106"/>
      <c r="BN386" s="106"/>
      <c r="BO386" s="106"/>
      <c r="BP386" s="106"/>
      <c r="BQ386" s="106"/>
      <c r="BR386" s="106"/>
      <c r="BS386" s="106"/>
      <c r="BT386" s="106"/>
      <c r="BU386" s="106"/>
    </row>
    <row r="387" spans="15:73" x14ac:dyDescent="0.25"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6"/>
      <c r="BI387" s="106"/>
      <c r="BJ387" s="106"/>
      <c r="BK387" s="106"/>
      <c r="BL387" s="106"/>
      <c r="BM387" s="106"/>
      <c r="BN387" s="106"/>
      <c r="BO387" s="106"/>
      <c r="BP387" s="106"/>
      <c r="BQ387" s="106"/>
      <c r="BR387" s="106"/>
      <c r="BS387" s="106"/>
      <c r="BT387" s="106"/>
      <c r="BU387" s="106"/>
    </row>
    <row r="388" spans="15:73" x14ac:dyDescent="0.25"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6"/>
      <c r="BI388" s="106"/>
      <c r="BJ388" s="106"/>
      <c r="BK388" s="106"/>
      <c r="BL388" s="106"/>
      <c r="BM388" s="106"/>
      <c r="BN388" s="106"/>
      <c r="BO388" s="106"/>
      <c r="BP388" s="106"/>
      <c r="BQ388" s="106"/>
      <c r="BR388" s="106"/>
      <c r="BS388" s="106"/>
      <c r="BT388" s="106"/>
      <c r="BU388" s="106"/>
    </row>
    <row r="389" spans="15:73" x14ac:dyDescent="0.25"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6"/>
      <c r="BI389" s="106"/>
      <c r="BJ389" s="106"/>
      <c r="BK389" s="106"/>
      <c r="BL389" s="106"/>
      <c r="BM389" s="106"/>
      <c r="BN389" s="106"/>
      <c r="BO389" s="106"/>
      <c r="BP389" s="106"/>
      <c r="BQ389" s="106"/>
      <c r="BR389" s="106"/>
      <c r="BS389" s="106"/>
      <c r="BT389" s="106"/>
      <c r="BU389" s="106"/>
    </row>
    <row r="390" spans="15:73" x14ac:dyDescent="0.25"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06"/>
      <c r="BT390" s="106"/>
      <c r="BU390" s="106"/>
    </row>
    <row r="391" spans="15:73" x14ac:dyDescent="0.25"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</row>
    <row r="392" spans="15:73" x14ac:dyDescent="0.25"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6"/>
      <c r="BI392" s="106"/>
      <c r="BJ392" s="106"/>
      <c r="BK392" s="106"/>
      <c r="BL392" s="106"/>
      <c r="BM392" s="106"/>
      <c r="BN392" s="106"/>
      <c r="BO392" s="106"/>
      <c r="BP392" s="106"/>
      <c r="BQ392" s="106"/>
      <c r="BR392" s="106"/>
      <c r="BS392" s="106"/>
      <c r="BT392" s="106"/>
      <c r="BU392" s="106"/>
    </row>
    <row r="393" spans="15:73" x14ac:dyDescent="0.25"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6"/>
      <c r="BI393" s="106"/>
      <c r="BJ393" s="106"/>
      <c r="BK393" s="106"/>
      <c r="BL393" s="106"/>
      <c r="BM393" s="106"/>
      <c r="BN393" s="106"/>
      <c r="BO393" s="106"/>
      <c r="BP393" s="106"/>
      <c r="BQ393" s="106"/>
      <c r="BR393" s="106"/>
      <c r="BS393" s="106"/>
      <c r="BT393" s="106"/>
      <c r="BU393" s="106"/>
    </row>
    <row r="394" spans="15:73" x14ac:dyDescent="0.25"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6"/>
      <c r="BI394" s="106"/>
      <c r="BJ394" s="106"/>
      <c r="BK394" s="106"/>
      <c r="BL394" s="106"/>
      <c r="BM394" s="106"/>
      <c r="BN394" s="106"/>
      <c r="BO394" s="106"/>
      <c r="BP394" s="106"/>
      <c r="BQ394" s="106"/>
      <c r="BR394" s="106"/>
      <c r="BS394" s="106"/>
      <c r="BT394" s="106"/>
      <c r="BU394" s="106"/>
    </row>
    <row r="395" spans="15:73" x14ac:dyDescent="0.25"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6"/>
      <c r="BI395" s="106"/>
      <c r="BJ395" s="106"/>
      <c r="BK395" s="106"/>
      <c r="BL395" s="106"/>
      <c r="BM395" s="106"/>
      <c r="BN395" s="106"/>
      <c r="BO395" s="106"/>
      <c r="BP395" s="106"/>
      <c r="BQ395" s="106"/>
      <c r="BR395" s="106"/>
      <c r="BS395" s="106"/>
      <c r="BT395" s="106"/>
      <c r="BU395" s="106"/>
    </row>
    <row r="396" spans="15:73" x14ac:dyDescent="0.25"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6"/>
      <c r="BI396" s="106"/>
      <c r="BJ396" s="106"/>
      <c r="BK396" s="106"/>
      <c r="BL396" s="106"/>
      <c r="BM396" s="106"/>
      <c r="BN396" s="106"/>
      <c r="BO396" s="106"/>
      <c r="BP396" s="106"/>
      <c r="BQ396" s="106"/>
      <c r="BR396" s="106"/>
      <c r="BS396" s="106"/>
      <c r="BT396" s="106"/>
      <c r="BU396" s="106"/>
    </row>
    <row r="397" spans="15:73" x14ac:dyDescent="0.25"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6"/>
      <c r="BI397" s="106"/>
      <c r="BJ397" s="106"/>
      <c r="BK397" s="106"/>
      <c r="BL397" s="106"/>
      <c r="BM397" s="106"/>
      <c r="BN397" s="106"/>
      <c r="BO397" s="106"/>
      <c r="BP397" s="106"/>
      <c r="BQ397" s="106"/>
      <c r="BR397" s="106"/>
      <c r="BS397" s="106"/>
      <c r="BT397" s="106"/>
      <c r="BU397" s="106"/>
    </row>
    <row r="398" spans="15:73" x14ac:dyDescent="0.25"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6"/>
      <c r="BI398" s="106"/>
      <c r="BJ398" s="106"/>
      <c r="BK398" s="106"/>
      <c r="BL398" s="106"/>
      <c r="BM398" s="106"/>
      <c r="BN398" s="106"/>
      <c r="BO398" s="106"/>
      <c r="BP398" s="106"/>
      <c r="BQ398" s="106"/>
      <c r="BR398" s="106"/>
      <c r="BS398" s="106"/>
      <c r="BT398" s="106"/>
      <c r="BU398" s="106"/>
    </row>
    <row r="399" spans="15:73" x14ac:dyDescent="0.25"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6"/>
      <c r="BI399" s="106"/>
      <c r="BJ399" s="106"/>
      <c r="BK399" s="106"/>
      <c r="BL399" s="106"/>
      <c r="BM399" s="106"/>
      <c r="BN399" s="106"/>
      <c r="BO399" s="106"/>
      <c r="BP399" s="106"/>
      <c r="BQ399" s="106"/>
      <c r="BR399" s="106"/>
      <c r="BS399" s="106"/>
      <c r="BT399" s="106"/>
      <c r="BU399" s="106"/>
    </row>
    <row r="400" spans="15:73" x14ac:dyDescent="0.25"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6"/>
      <c r="BI400" s="106"/>
      <c r="BJ400" s="106"/>
      <c r="BK400" s="106"/>
      <c r="BL400" s="106"/>
      <c r="BM400" s="106"/>
      <c r="BN400" s="106"/>
      <c r="BO400" s="106"/>
      <c r="BP400" s="106"/>
      <c r="BQ400" s="106"/>
      <c r="BR400" s="106"/>
      <c r="BS400" s="106"/>
      <c r="BT400" s="106"/>
      <c r="BU400" s="106"/>
    </row>
    <row r="401" spans="15:73" x14ac:dyDescent="0.25"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6"/>
      <c r="BI401" s="106"/>
      <c r="BJ401" s="106"/>
      <c r="BK401" s="106"/>
      <c r="BL401" s="106"/>
      <c r="BM401" s="106"/>
      <c r="BN401" s="106"/>
      <c r="BO401" s="106"/>
      <c r="BP401" s="106"/>
      <c r="BQ401" s="106"/>
      <c r="BR401" s="106"/>
      <c r="BS401" s="106"/>
      <c r="BT401" s="106"/>
      <c r="BU401" s="106"/>
    </row>
    <row r="402" spans="15:73" x14ac:dyDescent="0.25"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6"/>
      <c r="BI402" s="106"/>
      <c r="BJ402" s="106"/>
      <c r="BK402" s="106"/>
      <c r="BL402" s="106"/>
      <c r="BM402" s="106"/>
      <c r="BN402" s="106"/>
      <c r="BO402" s="106"/>
      <c r="BP402" s="106"/>
      <c r="BQ402" s="106"/>
      <c r="BR402" s="106"/>
      <c r="BS402" s="106"/>
      <c r="BT402" s="106"/>
      <c r="BU402" s="106"/>
    </row>
    <row r="403" spans="15:73" x14ac:dyDescent="0.25"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6"/>
      <c r="BI403" s="106"/>
      <c r="BJ403" s="106"/>
      <c r="BK403" s="106"/>
      <c r="BL403" s="106"/>
      <c r="BM403" s="106"/>
      <c r="BN403" s="106"/>
      <c r="BO403" s="106"/>
      <c r="BP403" s="106"/>
      <c r="BQ403" s="106"/>
      <c r="BR403" s="106"/>
      <c r="BS403" s="106"/>
      <c r="BT403" s="106"/>
      <c r="BU403" s="106"/>
    </row>
    <row r="404" spans="15:73" x14ac:dyDescent="0.25"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6"/>
      <c r="BI404" s="106"/>
      <c r="BJ404" s="106"/>
      <c r="BK404" s="106"/>
      <c r="BL404" s="106"/>
      <c r="BM404" s="106"/>
      <c r="BN404" s="106"/>
      <c r="BO404" s="106"/>
      <c r="BP404" s="106"/>
      <c r="BQ404" s="106"/>
      <c r="BR404" s="106"/>
      <c r="BS404" s="106"/>
      <c r="BT404" s="106"/>
      <c r="BU404" s="106"/>
    </row>
    <row r="405" spans="15:73" x14ac:dyDescent="0.25"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6"/>
      <c r="BI405" s="106"/>
      <c r="BJ405" s="106"/>
      <c r="BK405" s="106"/>
      <c r="BL405" s="106"/>
      <c r="BM405" s="106"/>
      <c r="BN405" s="106"/>
      <c r="BO405" s="106"/>
      <c r="BP405" s="106"/>
      <c r="BQ405" s="106"/>
      <c r="BR405" s="106"/>
      <c r="BS405" s="106"/>
      <c r="BT405" s="106"/>
      <c r="BU405" s="106"/>
    </row>
    <row r="406" spans="15:73" x14ac:dyDescent="0.25"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6"/>
      <c r="BI406" s="106"/>
      <c r="BJ406" s="106"/>
      <c r="BK406" s="106"/>
      <c r="BL406" s="106"/>
      <c r="BM406" s="106"/>
      <c r="BN406" s="106"/>
      <c r="BO406" s="106"/>
      <c r="BP406" s="106"/>
      <c r="BQ406" s="106"/>
      <c r="BR406" s="106"/>
      <c r="BS406" s="106"/>
      <c r="BT406" s="106"/>
      <c r="BU406" s="106"/>
    </row>
    <row r="407" spans="15:73" x14ac:dyDescent="0.25"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6"/>
      <c r="BI407" s="106"/>
      <c r="BJ407" s="106"/>
      <c r="BK407" s="106"/>
      <c r="BL407" s="106"/>
      <c r="BM407" s="106"/>
      <c r="BN407" s="106"/>
      <c r="BO407" s="106"/>
      <c r="BP407" s="106"/>
      <c r="BQ407" s="106"/>
      <c r="BR407" s="106"/>
      <c r="BS407" s="106"/>
      <c r="BT407" s="106"/>
      <c r="BU407" s="106"/>
    </row>
    <row r="408" spans="15:73" x14ac:dyDescent="0.25"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6"/>
      <c r="BI408" s="106"/>
      <c r="BJ408" s="106"/>
      <c r="BK408" s="106"/>
      <c r="BL408" s="106"/>
      <c r="BM408" s="106"/>
      <c r="BN408" s="106"/>
      <c r="BO408" s="106"/>
      <c r="BP408" s="106"/>
      <c r="BQ408" s="106"/>
      <c r="BR408" s="106"/>
      <c r="BS408" s="106"/>
      <c r="BT408" s="106"/>
      <c r="BU408" s="106"/>
    </row>
    <row r="409" spans="15:73" x14ac:dyDescent="0.25"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6"/>
      <c r="BI409" s="106"/>
      <c r="BJ409" s="106"/>
      <c r="BK409" s="106"/>
      <c r="BL409" s="106"/>
      <c r="BM409" s="106"/>
      <c r="BN409" s="106"/>
      <c r="BO409" s="106"/>
      <c r="BP409" s="106"/>
      <c r="BQ409" s="106"/>
      <c r="BR409" s="106"/>
      <c r="BS409" s="106"/>
      <c r="BT409" s="106"/>
      <c r="BU409" s="106"/>
    </row>
    <row r="410" spans="15:73" x14ac:dyDescent="0.25"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6"/>
      <c r="BI410" s="106"/>
      <c r="BJ410" s="106"/>
      <c r="BK410" s="106"/>
      <c r="BL410" s="106"/>
      <c r="BM410" s="106"/>
      <c r="BN410" s="106"/>
      <c r="BO410" s="106"/>
      <c r="BP410" s="106"/>
      <c r="BQ410" s="106"/>
      <c r="BR410" s="106"/>
      <c r="BS410" s="106"/>
      <c r="BT410" s="106"/>
      <c r="BU410" s="106"/>
    </row>
    <row r="411" spans="15:73" x14ac:dyDescent="0.25"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6"/>
      <c r="BI411" s="106"/>
      <c r="BJ411" s="106"/>
      <c r="BK411" s="106"/>
      <c r="BL411" s="106"/>
      <c r="BM411" s="106"/>
      <c r="BN411" s="106"/>
      <c r="BO411" s="106"/>
      <c r="BP411" s="106"/>
      <c r="BQ411" s="106"/>
      <c r="BR411" s="106"/>
      <c r="BS411" s="106"/>
      <c r="BT411" s="106"/>
      <c r="BU411" s="106"/>
    </row>
    <row r="412" spans="15:73" x14ac:dyDescent="0.25"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6"/>
      <c r="BI412" s="106"/>
      <c r="BJ412" s="106"/>
      <c r="BK412" s="106"/>
      <c r="BL412" s="106"/>
      <c r="BM412" s="106"/>
      <c r="BN412" s="106"/>
      <c r="BO412" s="106"/>
      <c r="BP412" s="106"/>
      <c r="BQ412" s="106"/>
      <c r="BR412" s="106"/>
      <c r="BS412" s="106"/>
      <c r="BT412" s="106"/>
      <c r="BU412" s="106"/>
    </row>
    <row r="413" spans="15:73" x14ac:dyDescent="0.25"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6"/>
      <c r="BI413" s="106"/>
      <c r="BJ413" s="106"/>
      <c r="BK413" s="106"/>
      <c r="BL413" s="106"/>
      <c r="BM413" s="106"/>
      <c r="BN413" s="106"/>
      <c r="BO413" s="106"/>
      <c r="BP413" s="106"/>
      <c r="BQ413" s="106"/>
      <c r="BR413" s="106"/>
      <c r="BS413" s="106"/>
      <c r="BT413" s="106"/>
      <c r="BU413" s="106"/>
    </row>
    <row r="414" spans="15:73" x14ac:dyDescent="0.25"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6"/>
      <c r="BI414" s="106"/>
      <c r="BJ414" s="106"/>
      <c r="BK414" s="106"/>
      <c r="BL414" s="106"/>
      <c r="BM414" s="106"/>
      <c r="BN414" s="106"/>
      <c r="BO414" s="106"/>
      <c r="BP414" s="106"/>
      <c r="BQ414" s="106"/>
      <c r="BR414" s="106"/>
      <c r="BS414" s="106"/>
      <c r="BT414" s="106"/>
      <c r="BU414" s="106"/>
    </row>
    <row r="415" spans="15:73" x14ac:dyDescent="0.25"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6"/>
      <c r="BI415" s="106"/>
      <c r="BJ415" s="106"/>
      <c r="BK415" s="106"/>
      <c r="BL415" s="106"/>
      <c r="BM415" s="106"/>
      <c r="BN415" s="106"/>
      <c r="BO415" s="106"/>
      <c r="BP415" s="106"/>
      <c r="BQ415" s="106"/>
      <c r="BR415" s="106"/>
      <c r="BS415" s="106"/>
      <c r="BT415" s="106"/>
      <c r="BU415" s="106"/>
    </row>
    <row r="416" spans="15:73" x14ac:dyDescent="0.25"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6"/>
      <c r="BI416" s="106"/>
      <c r="BJ416" s="106"/>
      <c r="BK416" s="106"/>
      <c r="BL416" s="106"/>
      <c r="BM416" s="106"/>
      <c r="BN416" s="106"/>
      <c r="BO416" s="106"/>
      <c r="BP416" s="106"/>
      <c r="BQ416" s="106"/>
      <c r="BR416" s="106"/>
      <c r="BS416" s="106"/>
      <c r="BT416" s="106"/>
      <c r="BU416" s="106"/>
    </row>
    <row r="417" spans="15:73" x14ac:dyDescent="0.25"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6"/>
      <c r="BI417" s="106"/>
      <c r="BJ417" s="106"/>
      <c r="BK417" s="106"/>
      <c r="BL417" s="106"/>
      <c r="BM417" s="106"/>
      <c r="BN417" s="106"/>
      <c r="BO417" s="106"/>
      <c r="BP417" s="106"/>
      <c r="BQ417" s="106"/>
      <c r="BR417" s="106"/>
      <c r="BS417" s="106"/>
      <c r="BT417" s="106"/>
      <c r="BU417" s="106"/>
    </row>
    <row r="418" spans="15:73" x14ac:dyDescent="0.25"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6"/>
      <c r="BI418" s="106"/>
      <c r="BJ418" s="106"/>
      <c r="BK418" s="106"/>
      <c r="BL418" s="106"/>
      <c r="BM418" s="106"/>
      <c r="BN418" s="106"/>
      <c r="BO418" s="106"/>
      <c r="BP418" s="106"/>
      <c r="BQ418" s="106"/>
      <c r="BR418" s="106"/>
      <c r="BS418" s="106"/>
      <c r="BT418" s="106"/>
      <c r="BU418" s="106"/>
    </row>
    <row r="419" spans="15:73" x14ac:dyDescent="0.25"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6"/>
      <c r="BI419" s="106"/>
      <c r="BJ419" s="106"/>
      <c r="BK419" s="106"/>
      <c r="BL419" s="106"/>
      <c r="BM419" s="106"/>
      <c r="BN419" s="106"/>
      <c r="BO419" s="106"/>
      <c r="BP419" s="106"/>
      <c r="BQ419" s="106"/>
      <c r="BR419" s="106"/>
      <c r="BS419" s="106"/>
      <c r="BT419" s="106"/>
      <c r="BU419" s="106"/>
    </row>
    <row r="420" spans="15:73" x14ac:dyDescent="0.25"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6"/>
      <c r="BI420" s="106"/>
      <c r="BJ420" s="106"/>
      <c r="BK420" s="106"/>
      <c r="BL420" s="106"/>
      <c r="BM420" s="106"/>
      <c r="BN420" s="106"/>
      <c r="BO420" s="106"/>
      <c r="BP420" s="106"/>
      <c r="BQ420" s="106"/>
      <c r="BR420" s="106"/>
      <c r="BS420" s="106"/>
      <c r="BT420" s="106"/>
      <c r="BU420" s="106"/>
    </row>
    <row r="421" spans="15:73" x14ac:dyDescent="0.25"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6"/>
      <c r="BI421" s="106"/>
      <c r="BJ421" s="106"/>
      <c r="BK421" s="106"/>
      <c r="BL421" s="106"/>
      <c r="BM421" s="106"/>
      <c r="BN421" s="106"/>
      <c r="BO421" s="106"/>
      <c r="BP421" s="106"/>
      <c r="BQ421" s="106"/>
      <c r="BR421" s="106"/>
      <c r="BS421" s="106"/>
      <c r="BT421" s="106"/>
      <c r="BU421" s="106"/>
    </row>
    <row r="422" spans="15:73" x14ac:dyDescent="0.25"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6"/>
      <c r="BI422" s="106"/>
      <c r="BJ422" s="106"/>
      <c r="BK422" s="106"/>
      <c r="BL422" s="106"/>
      <c r="BM422" s="106"/>
      <c r="BN422" s="106"/>
      <c r="BO422" s="106"/>
      <c r="BP422" s="106"/>
      <c r="BQ422" s="106"/>
      <c r="BR422" s="106"/>
      <c r="BS422" s="106"/>
      <c r="BT422" s="106"/>
      <c r="BU422" s="106"/>
    </row>
    <row r="423" spans="15:73" x14ac:dyDescent="0.25"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6"/>
      <c r="BI423" s="106"/>
      <c r="BJ423" s="106"/>
      <c r="BK423" s="106"/>
      <c r="BL423" s="106"/>
      <c r="BM423" s="106"/>
      <c r="BN423" s="106"/>
      <c r="BO423" s="106"/>
      <c r="BP423" s="106"/>
      <c r="BQ423" s="106"/>
      <c r="BR423" s="106"/>
      <c r="BS423" s="106"/>
      <c r="BT423" s="106"/>
      <c r="BU423" s="106"/>
    </row>
    <row r="424" spans="15:73" x14ac:dyDescent="0.25"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6"/>
      <c r="BI424" s="106"/>
      <c r="BJ424" s="106"/>
      <c r="BK424" s="106"/>
      <c r="BL424" s="106"/>
      <c r="BM424" s="106"/>
      <c r="BN424" s="106"/>
      <c r="BO424" s="106"/>
      <c r="BP424" s="106"/>
      <c r="BQ424" s="106"/>
      <c r="BR424" s="106"/>
      <c r="BS424" s="106"/>
      <c r="BT424" s="106"/>
      <c r="BU424" s="106"/>
    </row>
    <row r="425" spans="15:73" x14ac:dyDescent="0.25"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6"/>
      <c r="BI425" s="106"/>
      <c r="BJ425" s="106"/>
      <c r="BK425" s="106"/>
      <c r="BL425" s="106"/>
      <c r="BM425" s="106"/>
      <c r="BN425" s="106"/>
      <c r="BO425" s="106"/>
      <c r="BP425" s="106"/>
      <c r="BQ425" s="106"/>
      <c r="BR425" s="106"/>
      <c r="BS425" s="106"/>
      <c r="BT425" s="106"/>
      <c r="BU425" s="106"/>
    </row>
    <row r="426" spans="15:73" x14ac:dyDescent="0.25"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6"/>
      <c r="BI426" s="106"/>
      <c r="BJ426" s="106"/>
      <c r="BK426" s="106"/>
      <c r="BL426" s="106"/>
      <c r="BM426" s="106"/>
      <c r="BN426" s="106"/>
      <c r="BO426" s="106"/>
      <c r="BP426" s="106"/>
      <c r="BQ426" s="106"/>
      <c r="BR426" s="106"/>
      <c r="BS426" s="106"/>
      <c r="BT426" s="106"/>
      <c r="BU426" s="106"/>
    </row>
    <row r="427" spans="15:73" x14ac:dyDescent="0.25"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6"/>
      <c r="BI427" s="106"/>
      <c r="BJ427" s="106"/>
      <c r="BK427" s="106"/>
      <c r="BL427" s="106"/>
      <c r="BM427" s="106"/>
      <c r="BN427" s="106"/>
      <c r="BO427" s="106"/>
      <c r="BP427" s="106"/>
      <c r="BQ427" s="106"/>
      <c r="BR427" s="106"/>
      <c r="BS427" s="106"/>
      <c r="BT427" s="106"/>
      <c r="BU427" s="106"/>
    </row>
    <row r="428" spans="15:73" x14ac:dyDescent="0.25"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6"/>
      <c r="BI428" s="106"/>
      <c r="BJ428" s="106"/>
      <c r="BK428" s="106"/>
      <c r="BL428" s="106"/>
      <c r="BM428" s="106"/>
      <c r="BN428" s="106"/>
      <c r="BO428" s="106"/>
      <c r="BP428" s="106"/>
      <c r="BQ428" s="106"/>
      <c r="BR428" s="106"/>
      <c r="BS428" s="106"/>
      <c r="BT428" s="106"/>
      <c r="BU428" s="106"/>
    </row>
    <row r="429" spans="15:73" x14ac:dyDescent="0.25"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6"/>
      <c r="BI429" s="106"/>
      <c r="BJ429" s="106"/>
      <c r="BK429" s="106"/>
      <c r="BL429" s="106"/>
      <c r="BM429" s="106"/>
      <c r="BN429" s="106"/>
      <c r="BO429" s="106"/>
      <c r="BP429" s="106"/>
      <c r="BQ429" s="106"/>
      <c r="BR429" s="106"/>
      <c r="BS429" s="106"/>
      <c r="BT429" s="106"/>
      <c r="BU429" s="106"/>
    </row>
    <row r="430" spans="15:73" x14ac:dyDescent="0.25"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6"/>
      <c r="BI430" s="106"/>
      <c r="BJ430" s="106"/>
      <c r="BK430" s="106"/>
      <c r="BL430" s="106"/>
      <c r="BM430" s="106"/>
      <c r="BN430" s="106"/>
      <c r="BO430" s="106"/>
      <c r="BP430" s="106"/>
      <c r="BQ430" s="106"/>
      <c r="BR430" s="106"/>
      <c r="BS430" s="106"/>
      <c r="BT430" s="106"/>
      <c r="BU430" s="106"/>
    </row>
    <row r="431" spans="15:73" x14ac:dyDescent="0.25"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6"/>
      <c r="BI431" s="106"/>
      <c r="BJ431" s="106"/>
      <c r="BK431" s="106"/>
      <c r="BL431" s="106"/>
      <c r="BM431" s="106"/>
      <c r="BN431" s="106"/>
      <c r="BO431" s="106"/>
      <c r="BP431" s="106"/>
      <c r="BQ431" s="106"/>
      <c r="BR431" s="106"/>
      <c r="BS431" s="106"/>
      <c r="BT431" s="106"/>
      <c r="BU431" s="106"/>
    </row>
    <row r="432" spans="15:73" x14ac:dyDescent="0.25"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6"/>
      <c r="BI432" s="106"/>
      <c r="BJ432" s="106"/>
      <c r="BK432" s="106"/>
      <c r="BL432" s="106"/>
      <c r="BM432" s="106"/>
      <c r="BN432" s="106"/>
      <c r="BO432" s="106"/>
      <c r="BP432" s="106"/>
      <c r="BQ432" s="106"/>
      <c r="BR432" s="106"/>
      <c r="BS432" s="106"/>
      <c r="BT432" s="106"/>
      <c r="BU432" s="106"/>
    </row>
    <row r="433" spans="15:73" x14ac:dyDescent="0.25"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6"/>
      <c r="BI433" s="106"/>
      <c r="BJ433" s="106"/>
      <c r="BK433" s="106"/>
      <c r="BL433" s="106"/>
      <c r="BM433" s="106"/>
      <c r="BN433" s="106"/>
      <c r="BO433" s="106"/>
      <c r="BP433" s="106"/>
      <c r="BQ433" s="106"/>
      <c r="BR433" s="106"/>
      <c r="BS433" s="106"/>
      <c r="BT433" s="106"/>
      <c r="BU433" s="106"/>
    </row>
    <row r="434" spans="15:73" x14ac:dyDescent="0.25"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6"/>
      <c r="BI434" s="106"/>
      <c r="BJ434" s="106"/>
      <c r="BK434" s="106"/>
      <c r="BL434" s="106"/>
      <c r="BM434" s="106"/>
      <c r="BN434" s="106"/>
      <c r="BO434" s="106"/>
      <c r="BP434" s="106"/>
      <c r="BQ434" s="106"/>
      <c r="BR434" s="106"/>
      <c r="BS434" s="106"/>
      <c r="BT434" s="106"/>
      <c r="BU434" s="106"/>
    </row>
    <row r="435" spans="15:73" x14ac:dyDescent="0.25"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6"/>
      <c r="BI435" s="106"/>
      <c r="BJ435" s="106"/>
      <c r="BK435" s="106"/>
      <c r="BL435" s="106"/>
      <c r="BM435" s="106"/>
      <c r="BN435" s="106"/>
      <c r="BO435" s="106"/>
      <c r="BP435" s="106"/>
      <c r="BQ435" s="106"/>
      <c r="BR435" s="106"/>
      <c r="BS435" s="106"/>
      <c r="BT435" s="106"/>
      <c r="BU435" s="106"/>
    </row>
    <row r="436" spans="15:73" x14ac:dyDescent="0.25"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6"/>
      <c r="BI436" s="106"/>
      <c r="BJ436" s="106"/>
      <c r="BK436" s="106"/>
      <c r="BL436" s="106"/>
      <c r="BM436" s="106"/>
      <c r="BN436" s="106"/>
      <c r="BO436" s="106"/>
      <c r="BP436" s="106"/>
      <c r="BQ436" s="106"/>
      <c r="BR436" s="106"/>
      <c r="BS436" s="106"/>
      <c r="BT436" s="106"/>
      <c r="BU436" s="106"/>
    </row>
    <row r="437" spans="15:73" x14ac:dyDescent="0.25"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6"/>
      <c r="BI437" s="106"/>
      <c r="BJ437" s="106"/>
      <c r="BK437" s="106"/>
      <c r="BL437" s="106"/>
      <c r="BM437" s="106"/>
      <c r="BN437" s="106"/>
      <c r="BO437" s="106"/>
      <c r="BP437" s="106"/>
      <c r="BQ437" s="106"/>
      <c r="BR437" s="106"/>
      <c r="BS437" s="106"/>
      <c r="BT437" s="106"/>
      <c r="BU437" s="106"/>
    </row>
    <row r="438" spans="15:73" x14ac:dyDescent="0.25"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6"/>
      <c r="BI438" s="106"/>
      <c r="BJ438" s="106"/>
      <c r="BK438" s="106"/>
      <c r="BL438" s="106"/>
      <c r="BM438" s="106"/>
      <c r="BN438" s="106"/>
      <c r="BO438" s="106"/>
      <c r="BP438" s="106"/>
      <c r="BQ438" s="106"/>
      <c r="BR438" s="106"/>
      <c r="BS438" s="106"/>
      <c r="BT438" s="106"/>
      <c r="BU438" s="106"/>
    </row>
    <row r="439" spans="15:73" x14ac:dyDescent="0.25"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6"/>
      <c r="BI439" s="106"/>
      <c r="BJ439" s="106"/>
      <c r="BK439" s="106"/>
      <c r="BL439" s="106"/>
      <c r="BM439" s="106"/>
      <c r="BN439" s="106"/>
      <c r="BO439" s="106"/>
      <c r="BP439" s="106"/>
      <c r="BQ439" s="106"/>
      <c r="BR439" s="106"/>
      <c r="BS439" s="106"/>
      <c r="BT439" s="106"/>
      <c r="BU439" s="106"/>
    </row>
    <row r="440" spans="15:73" x14ac:dyDescent="0.25"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6"/>
      <c r="BI440" s="106"/>
      <c r="BJ440" s="106"/>
      <c r="BK440" s="106"/>
      <c r="BL440" s="106"/>
      <c r="BM440" s="106"/>
      <c r="BN440" s="106"/>
      <c r="BO440" s="106"/>
      <c r="BP440" s="106"/>
      <c r="BQ440" s="106"/>
      <c r="BR440" s="106"/>
      <c r="BS440" s="106"/>
      <c r="BT440" s="106"/>
      <c r="BU440" s="106"/>
    </row>
    <row r="441" spans="15:73" x14ac:dyDescent="0.25"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6"/>
      <c r="BI441" s="106"/>
      <c r="BJ441" s="106"/>
      <c r="BK441" s="106"/>
      <c r="BL441" s="106"/>
      <c r="BM441" s="106"/>
      <c r="BN441" s="106"/>
      <c r="BO441" s="106"/>
      <c r="BP441" s="106"/>
      <c r="BQ441" s="106"/>
      <c r="BR441" s="106"/>
      <c r="BS441" s="106"/>
      <c r="BT441" s="106"/>
      <c r="BU441" s="106"/>
    </row>
    <row r="442" spans="15:73" x14ac:dyDescent="0.25"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6"/>
      <c r="BI442" s="106"/>
      <c r="BJ442" s="106"/>
      <c r="BK442" s="106"/>
      <c r="BL442" s="106"/>
      <c r="BM442" s="106"/>
      <c r="BN442" s="106"/>
      <c r="BO442" s="106"/>
      <c r="BP442" s="106"/>
      <c r="BQ442" s="106"/>
      <c r="BR442" s="106"/>
      <c r="BS442" s="106"/>
      <c r="BT442" s="106"/>
      <c r="BU442" s="106"/>
    </row>
    <row r="443" spans="15:73" x14ac:dyDescent="0.25"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6"/>
      <c r="BI443" s="106"/>
      <c r="BJ443" s="106"/>
      <c r="BK443" s="106"/>
      <c r="BL443" s="106"/>
      <c r="BM443" s="106"/>
      <c r="BN443" s="106"/>
      <c r="BO443" s="106"/>
      <c r="BP443" s="106"/>
      <c r="BQ443" s="106"/>
      <c r="BR443" s="106"/>
      <c r="BS443" s="106"/>
      <c r="BT443" s="106"/>
      <c r="BU443" s="106"/>
    </row>
    <row r="444" spans="15:73" x14ac:dyDescent="0.25"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6"/>
      <c r="BI444" s="106"/>
      <c r="BJ444" s="106"/>
      <c r="BK444" s="106"/>
      <c r="BL444" s="106"/>
      <c r="BM444" s="106"/>
      <c r="BN444" s="106"/>
      <c r="BO444" s="106"/>
      <c r="BP444" s="106"/>
      <c r="BQ444" s="106"/>
      <c r="BR444" s="106"/>
      <c r="BS444" s="106"/>
      <c r="BT444" s="106"/>
      <c r="BU444" s="106"/>
    </row>
    <row r="445" spans="15:73" x14ac:dyDescent="0.25"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6"/>
      <c r="BI445" s="106"/>
      <c r="BJ445" s="106"/>
      <c r="BK445" s="106"/>
      <c r="BL445" s="106"/>
      <c r="BM445" s="106"/>
      <c r="BN445" s="106"/>
      <c r="BO445" s="106"/>
      <c r="BP445" s="106"/>
      <c r="BQ445" s="106"/>
      <c r="BR445" s="106"/>
      <c r="BS445" s="106"/>
      <c r="BT445" s="106"/>
      <c r="BU445" s="106"/>
    </row>
    <row r="446" spans="15:73" x14ac:dyDescent="0.25"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6"/>
      <c r="BI446" s="106"/>
      <c r="BJ446" s="106"/>
      <c r="BK446" s="106"/>
      <c r="BL446" s="106"/>
      <c r="BM446" s="106"/>
      <c r="BN446" s="106"/>
      <c r="BO446" s="106"/>
      <c r="BP446" s="106"/>
      <c r="BQ446" s="106"/>
      <c r="BR446" s="106"/>
      <c r="BS446" s="106"/>
      <c r="BT446" s="106"/>
      <c r="BU446" s="106"/>
    </row>
    <row r="447" spans="15:73" x14ac:dyDescent="0.25"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6"/>
      <c r="BI447" s="106"/>
      <c r="BJ447" s="106"/>
      <c r="BK447" s="106"/>
      <c r="BL447" s="106"/>
      <c r="BM447" s="106"/>
      <c r="BN447" s="106"/>
      <c r="BO447" s="106"/>
      <c r="BP447" s="106"/>
      <c r="BQ447" s="106"/>
      <c r="BR447" s="106"/>
      <c r="BS447" s="106"/>
      <c r="BT447" s="106"/>
      <c r="BU447" s="106"/>
    </row>
    <row r="448" spans="15:73" x14ac:dyDescent="0.25"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6"/>
      <c r="BI448" s="106"/>
      <c r="BJ448" s="106"/>
      <c r="BK448" s="106"/>
      <c r="BL448" s="106"/>
      <c r="BM448" s="106"/>
      <c r="BN448" s="106"/>
      <c r="BO448" s="106"/>
      <c r="BP448" s="106"/>
      <c r="BQ448" s="106"/>
      <c r="BR448" s="106"/>
      <c r="BS448" s="106"/>
      <c r="BT448" s="106"/>
      <c r="BU448" s="106"/>
    </row>
    <row r="449" spans="15:73" x14ac:dyDescent="0.25"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6"/>
      <c r="BI449" s="106"/>
      <c r="BJ449" s="106"/>
      <c r="BK449" s="106"/>
      <c r="BL449" s="106"/>
      <c r="BM449" s="106"/>
      <c r="BN449" s="106"/>
      <c r="BO449" s="106"/>
      <c r="BP449" s="106"/>
      <c r="BQ449" s="106"/>
      <c r="BR449" s="106"/>
      <c r="BS449" s="106"/>
      <c r="BT449" s="106"/>
      <c r="BU449" s="106"/>
    </row>
    <row r="450" spans="15:73" x14ac:dyDescent="0.25"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6"/>
      <c r="BI450" s="106"/>
      <c r="BJ450" s="106"/>
      <c r="BK450" s="106"/>
      <c r="BL450" s="106"/>
      <c r="BM450" s="106"/>
      <c r="BN450" s="106"/>
      <c r="BO450" s="106"/>
      <c r="BP450" s="106"/>
      <c r="BQ450" s="106"/>
      <c r="BR450" s="106"/>
      <c r="BS450" s="106"/>
      <c r="BT450" s="106"/>
      <c r="BU450" s="106"/>
    </row>
    <row r="451" spans="15:73" x14ac:dyDescent="0.25"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6"/>
      <c r="BI451" s="106"/>
      <c r="BJ451" s="106"/>
      <c r="BK451" s="106"/>
      <c r="BL451" s="106"/>
      <c r="BM451" s="106"/>
      <c r="BN451" s="106"/>
      <c r="BO451" s="106"/>
      <c r="BP451" s="106"/>
      <c r="BQ451" s="106"/>
      <c r="BR451" s="106"/>
      <c r="BS451" s="106"/>
      <c r="BT451" s="106"/>
      <c r="BU451" s="106"/>
    </row>
    <row r="452" spans="15:73" x14ac:dyDescent="0.25"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6"/>
      <c r="BI452" s="106"/>
      <c r="BJ452" s="106"/>
      <c r="BK452" s="106"/>
      <c r="BL452" s="106"/>
      <c r="BM452" s="106"/>
      <c r="BN452" s="106"/>
      <c r="BO452" s="106"/>
      <c r="BP452" s="106"/>
      <c r="BQ452" s="106"/>
      <c r="BR452" s="106"/>
      <c r="BS452" s="106"/>
      <c r="BT452" s="106"/>
      <c r="BU452" s="106"/>
    </row>
    <row r="453" spans="15:73" x14ac:dyDescent="0.25"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6"/>
      <c r="BI453" s="106"/>
      <c r="BJ453" s="106"/>
      <c r="BK453" s="106"/>
      <c r="BL453" s="106"/>
      <c r="BM453" s="106"/>
      <c r="BN453" s="106"/>
      <c r="BO453" s="106"/>
      <c r="BP453" s="106"/>
      <c r="BQ453" s="106"/>
      <c r="BR453" s="106"/>
      <c r="BS453" s="106"/>
      <c r="BT453" s="106"/>
      <c r="BU453" s="106"/>
    </row>
    <row r="454" spans="15:73" x14ac:dyDescent="0.25"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6"/>
      <c r="BI454" s="106"/>
      <c r="BJ454" s="106"/>
      <c r="BK454" s="106"/>
      <c r="BL454" s="106"/>
      <c r="BM454" s="106"/>
      <c r="BN454" s="106"/>
      <c r="BO454" s="106"/>
      <c r="BP454" s="106"/>
      <c r="BQ454" s="106"/>
      <c r="BR454" s="106"/>
      <c r="BS454" s="106"/>
      <c r="BT454" s="106"/>
      <c r="BU454" s="106"/>
    </row>
    <row r="455" spans="15:73" x14ac:dyDescent="0.25"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6"/>
      <c r="BI455" s="106"/>
      <c r="BJ455" s="106"/>
      <c r="BK455" s="106"/>
      <c r="BL455" s="106"/>
      <c r="BM455" s="106"/>
      <c r="BN455" s="106"/>
      <c r="BO455" s="106"/>
      <c r="BP455" s="106"/>
      <c r="BQ455" s="106"/>
      <c r="BR455" s="106"/>
      <c r="BS455" s="106"/>
      <c r="BT455" s="106"/>
      <c r="BU455" s="106"/>
    </row>
    <row r="456" spans="15:73" x14ac:dyDescent="0.25"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6"/>
      <c r="BI456" s="106"/>
      <c r="BJ456" s="106"/>
      <c r="BK456" s="106"/>
      <c r="BL456" s="106"/>
      <c r="BM456" s="106"/>
      <c r="BN456" s="106"/>
      <c r="BO456" s="106"/>
      <c r="BP456" s="106"/>
      <c r="BQ456" s="106"/>
      <c r="BR456" s="106"/>
      <c r="BS456" s="106"/>
      <c r="BT456" s="106"/>
      <c r="BU456" s="106"/>
    </row>
    <row r="457" spans="15:73" x14ac:dyDescent="0.25"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6"/>
      <c r="BI457" s="106"/>
      <c r="BJ457" s="106"/>
      <c r="BK457" s="106"/>
      <c r="BL457" s="106"/>
      <c r="BM457" s="106"/>
      <c r="BN457" s="106"/>
      <c r="BO457" s="106"/>
      <c r="BP457" s="106"/>
      <c r="BQ457" s="106"/>
      <c r="BR457" s="106"/>
      <c r="BS457" s="106"/>
      <c r="BT457" s="106"/>
      <c r="BU457" s="106"/>
    </row>
    <row r="458" spans="15:73" x14ac:dyDescent="0.25"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6"/>
      <c r="BI458" s="106"/>
      <c r="BJ458" s="106"/>
      <c r="BK458" s="106"/>
      <c r="BL458" s="106"/>
      <c r="BM458" s="106"/>
      <c r="BN458" s="106"/>
      <c r="BO458" s="106"/>
      <c r="BP458" s="106"/>
      <c r="BQ458" s="106"/>
      <c r="BR458" s="106"/>
      <c r="BS458" s="106"/>
      <c r="BT458" s="106"/>
      <c r="BU458" s="106"/>
    </row>
    <row r="459" spans="15:73" x14ac:dyDescent="0.25"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6"/>
      <c r="BI459" s="106"/>
      <c r="BJ459" s="106"/>
      <c r="BK459" s="106"/>
      <c r="BL459" s="106"/>
      <c r="BM459" s="106"/>
      <c r="BN459" s="106"/>
      <c r="BO459" s="106"/>
      <c r="BP459" s="106"/>
      <c r="BQ459" s="106"/>
      <c r="BR459" s="106"/>
      <c r="BS459" s="106"/>
      <c r="BT459" s="106"/>
      <c r="BU459" s="106"/>
    </row>
    <row r="460" spans="15:73" x14ac:dyDescent="0.25"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6"/>
      <c r="BI460" s="106"/>
      <c r="BJ460" s="106"/>
      <c r="BK460" s="106"/>
      <c r="BL460" s="106"/>
      <c r="BM460" s="106"/>
      <c r="BN460" s="106"/>
      <c r="BO460" s="106"/>
      <c r="BP460" s="106"/>
      <c r="BQ460" s="106"/>
      <c r="BR460" s="106"/>
      <c r="BS460" s="106"/>
      <c r="BT460" s="106"/>
      <c r="BU460" s="106"/>
    </row>
    <row r="461" spans="15:73" x14ac:dyDescent="0.25"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6"/>
      <c r="BI461" s="106"/>
      <c r="BJ461" s="106"/>
      <c r="BK461" s="106"/>
      <c r="BL461" s="106"/>
      <c r="BM461" s="106"/>
      <c r="BN461" s="106"/>
      <c r="BO461" s="106"/>
      <c r="BP461" s="106"/>
      <c r="BQ461" s="106"/>
      <c r="BR461" s="106"/>
      <c r="BS461" s="106"/>
      <c r="BT461" s="106"/>
      <c r="BU461" s="106"/>
    </row>
    <row r="462" spans="15:73" x14ac:dyDescent="0.25"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6"/>
      <c r="BI462" s="106"/>
      <c r="BJ462" s="106"/>
      <c r="BK462" s="106"/>
      <c r="BL462" s="106"/>
      <c r="BM462" s="106"/>
      <c r="BN462" s="106"/>
      <c r="BO462" s="106"/>
      <c r="BP462" s="106"/>
      <c r="BQ462" s="106"/>
      <c r="BR462" s="106"/>
      <c r="BS462" s="106"/>
      <c r="BT462" s="106"/>
      <c r="BU462" s="106"/>
    </row>
    <row r="463" spans="15:73" x14ac:dyDescent="0.25"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6"/>
      <c r="BI463" s="106"/>
      <c r="BJ463" s="106"/>
      <c r="BK463" s="106"/>
      <c r="BL463" s="106"/>
      <c r="BM463" s="106"/>
      <c r="BN463" s="106"/>
      <c r="BO463" s="106"/>
      <c r="BP463" s="106"/>
      <c r="BQ463" s="106"/>
      <c r="BR463" s="106"/>
      <c r="BS463" s="106"/>
      <c r="BT463" s="106"/>
      <c r="BU463" s="106"/>
    </row>
    <row r="464" spans="15:73" x14ac:dyDescent="0.25"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6"/>
      <c r="BI464" s="106"/>
      <c r="BJ464" s="106"/>
      <c r="BK464" s="106"/>
      <c r="BL464" s="106"/>
      <c r="BM464" s="106"/>
      <c r="BN464" s="106"/>
      <c r="BO464" s="106"/>
      <c r="BP464" s="106"/>
      <c r="BQ464" s="106"/>
      <c r="BR464" s="106"/>
      <c r="BS464" s="106"/>
      <c r="BT464" s="106"/>
      <c r="BU464" s="106"/>
    </row>
    <row r="465" spans="15:73" x14ac:dyDescent="0.25"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6"/>
      <c r="BI465" s="106"/>
      <c r="BJ465" s="106"/>
      <c r="BK465" s="106"/>
      <c r="BL465" s="106"/>
      <c r="BM465" s="106"/>
      <c r="BN465" s="106"/>
      <c r="BO465" s="106"/>
      <c r="BP465" s="106"/>
      <c r="BQ465" s="106"/>
      <c r="BR465" s="106"/>
      <c r="BS465" s="106"/>
      <c r="BT465" s="106"/>
      <c r="BU465" s="106"/>
    </row>
    <row r="466" spans="15:73" x14ac:dyDescent="0.25"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6"/>
      <c r="BI466" s="106"/>
      <c r="BJ466" s="106"/>
      <c r="BK466" s="106"/>
      <c r="BL466" s="106"/>
      <c r="BM466" s="106"/>
      <c r="BN466" s="106"/>
      <c r="BO466" s="106"/>
      <c r="BP466" s="106"/>
      <c r="BQ466" s="106"/>
      <c r="BR466" s="106"/>
      <c r="BS466" s="106"/>
      <c r="BT466" s="106"/>
      <c r="BU466" s="106"/>
    </row>
    <row r="467" spans="15:73" x14ac:dyDescent="0.25"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6"/>
      <c r="BI467" s="106"/>
      <c r="BJ467" s="106"/>
      <c r="BK467" s="106"/>
      <c r="BL467" s="106"/>
      <c r="BM467" s="106"/>
      <c r="BN467" s="106"/>
      <c r="BO467" s="106"/>
      <c r="BP467" s="106"/>
      <c r="BQ467" s="106"/>
      <c r="BR467" s="106"/>
      <c r="BS467" s="106"/>
      <c r="BT467" s="106"/>
      <c r="BU467" s="106"/>
    </row>
    <row r="468" spans="15:73" x14ac:dyDescent="0.25"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6"/>
      <c r="BI468" s="106"/>
      <c r="BJ468" s="106"/>
      <c r="BK468" s="106"/>
      <c r="BL468" s="106"/>
      <c r="BM468" s="106"/>
      <c r="BN468" s="106"/>
      <c r="BO468" s="106"/>
      <c r="BP468" s="106"/>
      <c r="BQ468" s="106"/>
      <c r="BR468" s="106"/>
      <c r="BS468" s="106"/>
      <c r="BT468" s="106"/>
      <c r="BU468" s="106"/>
    </row>
    <row r="469" spans="15:73" x14ac:dyDescent="0.25"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6"/>
      <c r="BI469" s="106"/>
      <c r="BJ469" s="106"/>
      <c r="BK469" s="106"/>
      <c r="BL469" s="106"/>
      <c r="BM469" s="106"/>
      <c r="BN469" s="106"/>
      <c r="BO469" s="106"/>
      <c r="BP469" s="106"/>
      <c r="BQ469" s="106"/>
      <c r="BR469" s="106"/>
      <c r="BS469" s="106"/>
      <c r="BT469" s="106"/>
      <c r="BU469" s="106"/>
    </row>
    <row r="470" spans="15:73" x14ac:dyDescent="0.25"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6"/>
      <c r="BI470" s="106"/>
      <c r="BJ470" s="106"/>
      <c r="BK470" s="106"/>
      <c r="BL470" s="106"/>
      <c r="BM470" s="106"/>
      <c r="BN470" s="106"/>
      <c r="BO470" s="106"/>
      <c r="BP470" s="106"/>
      <c r="BQ470" s="106"/>
      <c r="BR470" s="106"/>
      <c r="BS470" s="106"/>
      <c r="BT470" s="106"/>
      <c r="BU470" s="106"/>
    </row>
    <row r="471" spans="15:73" x14ac:dyDescent="0.25"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6"/>
      <c r="BI471" s="106"/>
      <c r="BJ471" s="106"/>
      <c r="BK471" s="106"/>
      <c r="BL471" s="106"/>
      <c r="BM471" s="106"/>
      <c r="BN471" s="106"/>
      <c r="BO471" s="106"/>
      <c r="BP471" s="106"/>
      <c r="BQ471" s="106"/>
      <c r="BR471" s="106"/>
      <c r="BS471" s="106"/>
      <c r="BT471" s="106"/>
      <c r="BU471" s="106"/>
    </row>
    <row r="472" spans="15:73" x14ac:dyDescent="0.25"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6"/>
      <c r="BI472" s="106"/>
      <c r="BJ472" s="106"/>
      <c r="BK472" s="106"/>
      <c r="BL472" s="106"/>
      <c r="BM472" s="106"/>
      <c r="BN472" s="106"/>
      <c r="BO472" s="106"/>
      <c r="BP472" s="106"/>
      <c r="BQ472" s="106"/>
      <c r="BR472" s="106"/>
      <c r="BS472" s="106"/>
      <c r="BT472" s="106"/>
      <c r="BU472" s="106"/>
    </row>
    <row r="473" spans="15:73" x14ac:dyDescent="0.25"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6"/>
      <c r="BI473" s="106"/>
      <c r="BJ473" s="106"/>
      <c r="BK473" s="106"/>
      <c r="BL473" s="106"/>
      <c r="BM473" s="106"/>
      <c r="BN473" s="106"/>
      <c r="BO473" s="106"/>
      <c r="BP473" s="106"/>
      <c r="BQ473" s="106"/>
      <c r="BR473" s="106"/>
      <c r="BS473" s="106"/>
      <c r="BT473" s="106"/>
      <c r="BU473" s="106"/>
    </row>
    <row r="474" spans="15:73" x14ac:dyDescent="0.25"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6"/>
      <c r="BI474" s="106"/>
      <c r="BJ474" s="106"/>
      <c r="BK474" s="106"/>
      <c r="BL474" s="106"/>
      <c r="BM474" s="106"/>
      <c r="BN474" s="106"/>
      <c r="BO474" s="106"/>
      <c r="BP474" s="106"/>
      <c r="BQ474" s="106"/>
      <c r="BR474" s="106"/>
      <c r="BS474" s="106"/>
      <c r="BT474" s="106"/>
      <c r="BU474" s="106"/>
    </row>
    <row r="475" spans="15:73" x14ac:dyDescent="0.25"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6"/>
      <c r="BI475" s="106"/>
      <c r="BJ475" s="106"/>
      <c r="BK475" s="106"/>
      <c r="BL475" s="106"/>
      <c r="BM475" s="106"/>
      <c r="BN475" s="106"/>
      <c r="BO475" s="106"/>
      <c r="BP475" s="106"/>
      <c r="BQ475" s="106"/>
      <c r="BR475" s="106"/>
      <c r="BS475" s="106"/>
      <c r="BT475" s="106"/>
      <c r="BU475" s="106"/>
    </row>
    <row r="476" spans="15:73" x14ac:dyDescent="0.25"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6"/>
      <c r="BI476" s="106"/>
      <c r="BJ476" s="106"/>
      <c r="BK476" s="106"/>
      <c r="BL476" s="106"/>
      <c r="BM476" s="106"/>
      <c r="BN476" s="106"/>
      <c r="BO476" s="106"/>
      <c r="BP476" s="106"/>
      <c r="BQ476" s="106"/>
      <c r="BR476" s="106"/>
      <c r="BS476" s="106"/>
      <c r="BT476" s="106"/>
      <c r="BU476" s="106"/>
    </row>
    <row r="477" spans="15:73" x14ac:dyDescent="0.25"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6"/>
      <c r="BI477" s="106"/>
      <c r="BJ477" s="106"/>
      <c r="BK477" s="106"/>
      <c r="BL477" s="106"/>
      <c r="BM477" s="106"/>
      <c r="BN477" s="106"/>
      <c r="BO477" s="106"/>
      <c r="BP477" s="106"/>
      <c r="BQ477" s="106"/>
      <c r="BR477" s="106"/>
      <c r="BS477" s="106"/>
      <c r="BT477" s="106"/>
      <c r="BU477" s="106"/>
    </row>
    <row r="478" spans="15:73" x14ac:dyDescent="0.25"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6"/>
      <c r="BI478" s="106"/>
      <c r="BJ478" s="106"/>
      <c r="BK478" s="106"/>
      <c r="BL478" s="106"/>
      <c r="BM478" s="106"/>
      <c r="BN478" s="106"/>
      <c r="BO478" s="106"/>
      <c r="BP478" s="106"/>
      <c r="BQ478" s="106"/>
      <c r="BR478" s="106"/>
      <c r="BS478" s="106"/>
      <c r="BT478" s="106"/>
      <c r="BU478" s="106"/>
    </row>
    <row r="479" spans="15:73" x14ac:dyDescent="0.25"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6"/>
      <c r="BI479" s="106"/>
      <c r="BJ479" s="106"/>
      <c r="BK479" s="106"/>
      <c r="BL479" s="106"/>
      <c r="BM479" s="106"/>
      <c r="BN479" s="106"/>
      <c r="BO479" s="106"/>
      <c r="BP479" s="106"/>
      <c r="BQ479" s="106"/>
      <c r="BR479" s="106"/>
      <c r="BS479" s="106"/>
      <c r="BT479" s="106"/>
      <c r="BU479" s="106"/>
    </row>
    <row r="480" spans="15:73" x14ac:dyDescent="0.25"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6"/>
      <c r="BI480" s="106"/>
      <c r="BJ480" s="106"/>
      <c r="BK480" s="106"/>
      <c r="BL480" s="106"/>
      <c r="BM480" s="106"/>
      <c r="BN480" s="106"/>
      <c r="BO480" s="106"/>
      <c r="BP480" s="106"/>
      <c r="BQ480" s="106"/>
      <c r="BR480" s="106"/>
      <c r="BS480" s="106"/>
      <c r="BT480" s="106"/>
      <c r="BU480" s="106"/>
    </row>
    <row r="481" spans="15:73" x14ac:dyDescent="0.25"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6"/>
      <c r="BI481" s="106"/>
      <c r="BJ481" s="106"/>
      <c r="BK481" s="106"/>
      <c r="BL481" s="106"/>
      <c r="BM481" s="106"/>
      <c r="BN481" s="106"/>
      <c r="BO481" s="106"/>
      <c r="BP481" s="106"/>
      <c r="BQ481" s="106"/>
      <c r="BR481" s="106"/>
      <c r="BS481" s="106"/>
      <c r="BT481" s="106"/>
      <c r="BU481" s="106"/>
    </row>
    <row r="482" spans="15:73" x14ac:dyDescent="0.25"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6"/>
      <c r="BI482" s="106"/>
      <c r="BJ482" s="106"/>
      <c r="BK482" s="106"/>
      <c r="BL482" s="106"/>
      <c r="BM482" s="106"/>
      <c r="BN482" s="106"/>
      <c r="BO482" s="106"/>
      <c r="BP482" s="106"/>
      <c r="BQ482" s="106"/>
      <c r="BR482" s="106"/>
      <c r="BS482" s="106"/>
      <c r="BT482" s="106"/>
      <c r="BU482" s="106"/>
    </row>
    <row r="483" spans="15:73" x14ac:dyDescent="0.25"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6"/>
      <c r="BI483" s="106"/>
      <c r="BJ483" s="106"/>
      <c r="BK483" s="106"/>
      <c r="BL483" s="106"/>
      <c r="BM483" s="106"/>
      <c r="BN483" s="106"/>
      <c r="BO483" s="106"/>
      <c r="BP483" s="106"/>
      <c r="BQ483" s="106"/>
      <c r="BR483" s="106"/>
      <c r="BS483" s="106"/>
      <c r="BT483" s="106"/>
      <c r="BU483" s="106"/>
    </row>
    <row r="484" spans="15:73" x14ac:dyDescent="0.25"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6"/>
      <c r="BI484" s="106"/>
      <c r="BJ484" s="106"/>
      <c r="BK484" s="106"/>
      <c r="BL484" s="106"/>
      <c r="BM484" s="106"/>
      <c r="BN484" s="106"/>
      <c r="BO484" s="106"/>
      <c r="BP484" s="106"/>
      <c r="BQ484" s="106"/>
      <c r="BR484" s="106"/>
      <c r="BS484" s="106"/>
      <c r="BT484" s="106"/>
      <c r="BU484" s="106"/>
    </row>
    <row r="485" spans="15:73" x14ac:dyDescent="0.25"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6"/>
      <c r="BI485" s="106"/>
      <c r="BJ485" s="106"/>
      <c r="BK485" s="106"/>
      <c r="BL485" s="106"/>
      <c r="BM485" s="106"/>
      <c r="BN485" s="106"/>
      <c r="BO485" s="106"/>
      <c r="BP485" s="106"/>
      <c r="BQ485" s="106"/>
      <c r="BR485" s="106"/>
      <c r="BS485" s="106"/>
      <c r="BT485" s="106"/>
      <c r="BU485" s="106"/>
    </row>
    <row r="486" spans="15:73" x14ac:dyDescent="0.25"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6"/>
      <c r="BI486" s="106"/>
      <c r="BJ486" s="106"/>
      <c r="BK486" s="106"/>
      <c r="BL486" s="106"/>
      <c r="BM486" s="106"/>
      <c r="BN486" s="106"/>
      <c r="BO486" s="106"/>
      <c r="BP486" s="106"/>
      <c r="BQ486" s="106"/>
      <c r="BR486" s="106"/>
      <c r="BS486" s="106"/>
      <c r="BT486" s="106"/>
      <c r="BU486" s="106"/>
    </row>
    <row r="487" spans="15:73" x14ac:dyDescent="0.25"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6"/>
      <c r="BI487" s="106"/>
      <c r="BJ487" s="106"/>
      <c r="BK487" s="106"/>
      <c r="BL487" s="106"/>
      <c r="BM487" s="106"/>
      <c r="BN487" s="106"/>
      <c r="BO487" s="106"/>
      <c r="BP487" s="106"/>
      <c r="BQ487" s="106"/>
      <c r="BR487" s="106"/>
      <c r="BS487" s="106"/>
      <c r="BT487" s="106"/>
      <c r="BU487" s="106"/>
    </row>
    <row r="488" spans="15:73" x14ac:dyDescent="0.25"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6"/>
      <c r="BI488" s="106"/>
      <c r="BJ488" s="106"/>
      <c r="BK488" s="106"/>
      <c r="BL488" s="106"/>
      <c r="BM488" s="106"/>
      <c r="BN488" s="106"/>
      <c r="BO488" s="106"/>
      <c r="BP488" s="106"/>
      <c r="BQ488" s="106"/>
      <c r="BR488" s="106"/>
      <c r="BS488" s="106"/>
      <c r="BT488" s="106"/>
      <c r="BU488" s="106"/>
    </row>
    <row r="489" spans="15:73" x14ac:dyDescent="0.25"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6"/>
      <c r="BI489" s="106"/>
      <c r="BJ489" s="106"/>
      <c r="BK489" s="106"/>
      <c r="BL489" s="106"/>
      <c r="BM489" s="106"/>
      <c r="BN489" s="106"/>
      <c r="BO489" s="106"/>
      <c r="BP489" s="106"/>
      <c r="BQ489" s="106"/>
      <c r="BR489" s="106"/>
      <c r="BS489" s="106"/>
      <c r="BT489" s="106"/>
      <c r="BU489" s="106"/>
    </row>
    <row r="490" spans="15:73" x14ac:dyDescent="0.25"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6"/>
      <c r="BI490" s="106"/>
      <c r="BJ490" s="106"/>
      <c r="BK490" s="106"/>
      <c r="BL490" s="106"/>
      <c r="BM490" s="106"/>
      <c r="BN490" s="106"/>
      <c r="BO490" s="106"/>
      <c r="BP490" s="106"/>
      <c r="BQ490" s="106"/>
      <c r="BR490" s="106"/>
      <c r="BS490" s="106"/>
      <c r="BT490" s="106"/>
      <c r="BU490" s="106"/>
    </row>
    <row r="491" spans="15:73" x14ac:dyDescent="0.25"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6"/>
      <c r="BI491" s="106"/>
      <c r="BJ491" s="106"/>
      <c r="BK491" s="106"/>
      <c r="BL491" s="106"/>
      <c r="BM491" s="106"/>
      <c r="BN491" s="106"/>
      <c r="BO491" s="106"/>
      <c r="BP491" s="106"/>
      <c r="BQ491" s="106"/>
      <c r="BR491" s="106"/>
      <c r="BS491" s="106"/>
      <c r="BT491" s="106"/>
      <c r="BU491" s="106"/>
    </row>
    <row r="492" spans="15:73" x14ac:dyDescent="0.25"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6"/>
      <c r="BI492" s="106"/>
      <c r="BJ492" s="106"/>
      <c r="BK492" s="106"/>
      <c r="BL492" s="106"/>
      <c r="BM492" s="106"/>
      <c r="BN492" s="106"/>
      <c r="BO492" s="106"/>
      <c r="BP492" s="106"/>
      <c r="BQ492" s="106"/>
      <c r="BR492" s="106"/>
      <c r="BS492" s="106"/>
      <c r="BT492" s="106"/>
      <c r="BU492" s="106"/>
    </row>
    <row r="493" spans="15:73" x14ac:dyDescent="0.25"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6"/>
      <c r="BI493" s="106"/>
      <c r="BJ493" s="106"/>
      <c r="BK493" s="106"/>
      <c r="BL493" s="106"/>
      <c r="BM493" s="106"/>
      <c r="BN493" s="106"/>
      <c r="BO493" s="106"/>
      <c r="BP493" s="106"/>
      <c r="BQ493" s="106"/>
      <c r="BR493" s="106"/>
      <c r="BS493" s="106"/>
      <c r="BT493" s="106"/>
      <c r="BU493" s="106"/>
    </row>
    <row r="494" spans="15:73" x14ac:dyDescent="0.25"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6"/>
      <c r="BI494" s="106"/>
      <c r="BJ494" s="106"/>
      <c r="BK494" s="106"/>
      <c r="BL494" s="106"/>
      <c r="BM494" s="106"/>
      <c r="BN494" s="106"/>
      <c r="BO494" s="106"/>
      <c r="BP494" s="106"/>
      <c r="BQ494" s="106"/>
      <c r="BR494" s="106"/>
      <c r="BS494" s="106"/>
      <c r="BT494" s="106"/>
      <c r="BU494" s="106"/>
    </row>
    <row r="495" spans="15:73" x14ac:dyDescent="0.25"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6"/>
      <c r="BI495" s="106"/>
      <c r="BJ495" s="106"/>
      <c r="BK495" s="106"/>
      <c r="BL495" s="106"/>
      <c r="BM495" s="106"/>
      <c r="BN495" s="106"/>
      <c r="BO495" s="106"/>
      <c r="BP495" s="106"/>
      <c r="BQ495" s="106"/>
      <c r="BR495" s="106"/>
      <c r="BS495" s="106"/>
      <c r="BT495" s="106"/>
      <c r="BU495" s="106"/>
    </row>
    <row r="496" spans="15:73" x14ac:dyDescent="0.25"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6"/>
      <c r="BI496" s="106"/>
      <c r="BJ496" s="106"/>
      <c r="BK496" s="106"/>
      <c r="BL496" s="106"/>
      <c r="BM496" s="106"/>
      <c r="BN496" s="106"/>
      <c r="BO496" s="106"/>
      <c r="BP496" s="106"/>
      <c r="BQ496" s="106"/>
      <c r="BR496" s="106"/>
      <c r="BS496" s="106"/>
      <c r="BT496" s="106"/>
      <c r="BU496" s="106"/>
    </row>
    <row r="497" spans="15:73" x14ac:dyDescent="0.25"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6"/>
      <c r="BI497" s="106"/>
      <c r="BJ497" s="106"/>
      <c r="BK497" s="106"/>
      <c r="BL497" s="106"/>
      <c r="BM497" s="106"/>
      <c r="BN497" s="106"/>
      <c r="BO497" s="106"/>
      <c r="BP497" s="106"/>
      <c r="BQ497" s="106"/>
      <c r="BR497" s="106"/>
      <c r="BS497" s="106"/>
      <c r="BT497" s="106"/>
      <c r="BU497" s="106"/>
    </row>
    <row r="498" spans="15:73" x14ac:dyDescent="0.25"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6"/>
      <c r="BI498" s="106"/>
      <c r="BJ498" s="106"/>
      <c r="BK498" s="106"/>
      <c r="BL498" s="106"/>
      <c r="BM498" s="106"/>
      <c r="BN498" s="106"/>
      <c r="BO498" s="106"/>
      <c r="BP498" s="106"/>
      <c r="BQ498" s="106"/>
      <c r="BR498" s="106"/>
      <c r="BS498" s="106"/>
      <c r="BT498" s="106"/>
      <c r="BU498" s="106"/>
    </row>
    <row r="499" spans="15:73" x14ac:dyDescent="0.25"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6"/>
      <c r="BI499" s="106"/>
      <c r="BJ499" s="106"/>
      <c r="BK499" s="106"/>
      <c r="BL499" s="106"/>
      <c r="BM499" s="106"/>
      <c r="BN499" s="106"/>
      <c r="BO499" s="106"/>
      <c r="BP499" s="106"/>
      <c r="BQ499" s="106"/>
      <c r="BR499" s="106"/>
      <c r="BS499" s="106"/>
      <c r="BT499" s="106"/>
      <c r="BU499" s="106"/>
    </row>
    <row r="500" spans="15:73" x14ac:dyDescent="0.25"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6"/>
      <c r="BI500" s="106"/>
      <c r="BJ500" s="106"/>
      <c r="BK500" s="106"/>
      <c r="BL500" s="106"/>
      <c r="BM500" s="106"/>
      <c r="BN500" s="106"/>
      <c r="BO500" s="106"/>
      <c r="BP500" s="106"/>
      <c r="BQ500" s="106"/>
      <c r="BR500" s="106"/>
      <c r="BS500" s="106"/>
      <c r="BT500" s="106"/>
      <c r="BU500" s="106"/>
    </row>
    <row r="501" spans="15:73" x14ac:dyDescent="0.25"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6"/>
      <c r="BI501" s="106"/>
      <c r="BJ501" s="106"/>
      <c r="BK501" s="106"/>
      <c r="BL501" s="106"/>
      <c r="BM501" s="106"/>
      <c r="BN501" s="106"/>
      <c r="BO501" s="106"/>
      <c r="BP501" s="106"/>
      <c r="BQ501" s="106"/>
      <c r="BR501" s="106"/>
      <c r="BS501" s="106"/>
      <c r="BT501" s="106"/>
      <c r="BU501" s="106"/>
    </row>
    <row r="502" spans="15:73" x14ac:dyDescent="0.25"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6"/>
      <c r="BI502" s="106"/>
      <c r="BJ502" s="106"/>
      <c r="BK502" s="106"/>
      <c r="BL502" s="106"/>
      <c r="BM502" s="106"/>
      <c r="BN502" s="106"/>
      <c r="BO502" s="106"/>
      <c r="BP502" s="106"/>
      <c r="BQ502" s="106"/>
      <c r="BR502" s="106"/>
      <c r="BS502" s="106"/>
      <c r="BT502" s="106"/>
      <c r="BU502" s="106"/>
    </row>
    <row r="503" spans="15:73" x14ac:dyDescent="0.25"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6"/>
      <c r="BI503" s="106"/>
      <c r="BJ503" s="106"/>
      <c r="BK503" s="106"/>
      <c r="BL503" s="106"/>
      <c r="BM503" s="106"/>
      <c r="BN503" s="106"/>
      <c r="BO503" s="106"/>
      <c r="BP503" s="106"/>
      <c r="BQ503" s="106"/>
      <c r="BR503" s="106"/>
      <c r="BS503" s="106"/>
      <c r="BT503" s="106"/>
      <c r="BU503" s="106"/>
    </row>
    <row r="504" spans="15:73" x14ac:dyDescent="0.25"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6"/>
      <c r="BI504" s="106"/>
      <c r="BJ504" s="106"/>
      <c r="BK504" s="106"/>
      <c r="BL504" s="106"/>
      <c r="BM504" s="106"/>
      <c r="BN504" s="106"/>
      <c r="BO504" s="106"/>
      <c r="BP504" s="106"/>
      <c r="BQ504" s="106"/>
      <c r="BR504" s="106"/>
      <c r="BS504" s="106"/>
      <c r="BT504" s="106"/>
      <c r="BU504" s="106"/>
    </row>
    <row r="505" spans="15:73" x14ac:dyDescent="0.25"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6"/>
      <c r="BI505" s="106"/>
      <c r="BJ505" s="106"/>
      <c r="BK505" s="106"/>
      <c r="BL505" s="106"/>
      <c r="BM505" s="106"/>
      <c r="BN505" s="106"/>
      <c r="BO505" s="106"/>
      <c r="BP505" s="106"/>
      <c r="BQ505" s="106"/>
      <c r="BR505" s="106"/>
      <c r="BS505" s="106"/>
      <c r="BT505" s="106"/>
      <c r="BU505" s="106"/>
    </row>
    <row r="506" spans="15:73" x14ac:dyDescent="0.25"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6"/>
      <c r="BI506" s="106"/>
      <c r="BJ506" s="106"/>
      <c r="BK506" s="106"/>
      <c r="BL506" s="106"/>
      <c r="BM506" s="106"/>
      <c r="BN506" s="106"/>
      <c r="BO506" s="106"/>
      <c r="BP506" s="106"/>
      <c r="BQ506" s="106"/>
      <c r="BR506" s="106"/>
      <c r="BS506" s="106"/>
      <c r="BT506" s="106"/>
      <c r="BU506" s="106"/>
    </row>
    <row r="507" spans="15:73" x14ac:dyDescent="0.25"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6"/>
      <c r="BI507" s="106"/>
      <c r="BJ507" s="106"/>
      <c r="BK507" s="106"/>
      <c r="BL507" s="106"/>
      <c r="BM507" s="106"/>
      <c r="BN507" s="106"/>
      <c r="BO507" s="106"/>
      <c r="BP507" s="106"/>
      <c r="BQ507" s="106"/>
      <c r="BR507" s="106"/>
      <c r="BS507" s="106"/>
      <c r="BT507" s="106"/>
      <c r="BU507" s="106"/>
    </row>
    <row r="508" spans="15:73" x14ac:dyDescent="0.25"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6"/>
      <c r="BI508" s="106"/>
      <c r="BJ508" s="106"/>
      <c r="BK508" s="106"/>
      <c r="BL508" s="106"/>
      <c r="BM508" s="106"/>
      <c r="BN508" s="106"/>
      <c r="BO508" s="106"/>
      <c r="BP508" s="106"/>
      <c r="BQ508" s="106"/>
      <c r="BR508" s="106"/>
      <c r="BS508" s="106"/>
      <c r="BT508" s="106"/>
      <c r="BU508" s="106"/>
    </row>
    <row r="509" spans="15:73" x14ac:dyDescent="0.25"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6"/>
      <c r="BI509" s="106"/>
      <c r="BJ509" s="106"/>
      <c r="BK509" s="106"/>
      <c r="BL509" s="106"/>
      <c r="BM509" s="106"/>
      <c r="BN509" s="106"/>
      <c r="BO509" s="106"/>
      <c r="BP509" s="106"/>
      <c r="BQ509" s="106"/>
      <c r="BR509" s="106"/>
      <c r="BS509" s="106"/>
      <c r="BT509" s="106"/>
      <c r="BU509" s="106"/>
    </row>
    <row r="510" spans="15:73" x14ac:dyDescent="0.25"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6"/>
      <c r="BI510" s="106"/>
      <c r="BJ510" s="106"/>
      <c r="BK510" s="106"/>
      <c r="BL510" s="106"/>
      <c r="BM510" s="106"/>
      <c r="BN510" s="106"/>
      <c r="BO510" s="106"/>
      <c r="BP510" s="106"/>
      <c r="BQ510" s="106"/>
      <c r="BR510" s="106"/>
      <c r="BS510" s="106"/>
      <c r="BT510" s="106"/>
      <c r="BU510" s="106"/>
    </row>
    <row r="511" spans="15:73" x14ac:dyDescent="0.25"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6"/>
      <c r="BI511" s="106"/>
      <c r="BJ511" s="106"/>
      <c r="BK511" s="106"/>
      <c r="BL511" s="106"/>
      <c r="BM511" s="106"/>
      <c r="BN511" s="106"/>
      <c r="BO511" s="106"/>
      <c r="BP511" s="106"/>
      <c r="BQ511" s="106"/>
      <c r="BR511" s="106"/>
      <c r="BS511" s="106"/>
      <c r="BT511" s="106"/>
      <c r="BU511" s="106"/>
    </row>
    <row r="512" spans="15:73" x14ac:dyDescent="0.25"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6"/>
      <c r="BI512" s="106"/>
      <c r="BJ512" s="106"/>
      <c r="BK512" s="106"/>
      <c r="BL512" s="106"/>
      <c r="BM512" s="106"/>
      <c r="BN512" s="106"/>
      <c r="BO512" s="106"/>
      <c r="BP512" s="106"/>
      <c r="BQ512" s="106"/>
      <c r="BR512" s="106"/>
      <c r="BS512" s="106"/>
      <c r="BT512" s="106"/>
      <c r="BU512" s="106"/>
    </row>
    <row r="513" spans="15:73" x14ac:dyDescent="0.25"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6"/>
      <c r="BI513" s="106"/>
      <c r="BJ513" s="106"/>
      <c r="BK513" s="106"/>
      <c r="BL513" s="106"/>
      <c r="BM513" s="106"/>
      <c r="BN513" s="106"/>
      <c r="BO513" s="106"/>
      <c r="BP513" s="106"/>
      <c r="BQ513" s="106"/>
      <c r="BR513" s="106"/>
      <c r="BS513" s="106"/>
      <c r="BT513" s="106"/>
      <c r="BU513" s="106"/>
    </row>
    <row r="514" spans="15:73" x14ac:dyDescent="0.25"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6"/>
      <c r="BI514" s="106"/>
      <c r="BJ514" s="106"/>
      <c r="BK514" s="106"/>
      <c r="BL514" s="106"/>
      <c r="BM514" s="106"/>
      <c r="BN514" s="106"/>
      <c r="BO514" s="106"/>
      <c r="BP514" s="106"/>
      <c r="BQ514" s="106"/>
      <c r="BR514" s="106"/>
      <c r="BS514" s="106"/>
      <c r="BT514" s="106"/>
      <c r="BU514" s="106"/>
    </row>
    <row r="515" spans="15:73" x14ac:dyDescent="0.25"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6"/>
      <c r="BI515" s="106"/>
      <c r="BJ515" s="106"/>
      <c r="BK515" s="106"/>
      <c r="BL515" s="106"/>
      <c r="BM515" s="106"/>
      <c r="BN515" s="106"/>
      <c r="BO515" s="106"/>
      <c r="BP515" s="106"/>
      <c r="BQ515" s="106"/>
      <c r="BR515" s="106"/>
      <c r="BS515" s="106"/>
      <c r="BT515" s="106"/>
      <c r="BU515" s="106"/>
    </row>
    <row r="516" spans="15:73" x14ac:dyDescent="0.25"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6"/>
      <c r="BI516" s="106"/>
      <c r="BJ516" s="106"/>
      <c r="BK516" s="106"/>
      <c r="BL516" s="106"/>
      <c r="BM516" s="106"/>
      <c r="BN516" s="106"/>
      <c r="BO516" s="106"/>
      <c r="BP516" s="106"/>
      <c r="BQ516" s="106"/>
      <c r="BR516" s="106"/>
      <c r="BS516" s="106"/>
      <c r="BT516" s="106"/>
      <c r="BU516" s="106"/>
    </row>
    <row r="517" spans="15:73" x14ac:dyDescent="0.25"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6"/>
      <c r="BI517" s="106"/>
      <c r="BJ517" s="106"/>
      <c r="BK517" s="106"/>
      <c r="BL517" s="106"/>
      <c r="BM517" s="106"/>
      <c r="BN517" s="106"/>
      <c r="BO517" s="106"/>
      <c r="BP517" s="106"/>
      <c r="BQ517" s="106"/>
      <c r="BR517" s="106"/>
      <c r="BS517" s="106"/>
      <c r="BT517" s="106"/>
      <c r="BU517" s="106"/>
    </row>
    <row r="518" spans="15:73" x14ac:dyDescent="0.25"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6"/>
      <c r="BI518" s="106"/>
      <c r="BJ518" s="106"/>
      <c r="BK518" s="106"/>
      <c r="BL518" s="106"/>
      <c r="BM518" s="106"/>
      <c r="BN518" s="106"/>
      <c r="BO518" s="106"/>
      <c r="BP518" s="106"/>
      <c r="BQ518" s="106"/>
      <c r="BR518" s="106"/>
      <c r="BS518" s="106"/>
      <c r="BT518" s="106"/>
      <c r="BU518" s="106"/>
    </row>
    <row r="519" spans="15:73" x14ac:dyDescent="0.25"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6"/>
      <c r="BI519" s="106"/>
      <c r="BJ519" s="106"/>
      <c r="BK519" s="106"/>
      <c r="BL519" s="106"/>
      <c r="BM519" s="106"/>
      <c r="BN519" s="106"/>
      <c r="BO519" s="106"/>
      <c r="BP519" s="106"/>
      <c r="BQ519" s="106"/>
      <c r="BR519" s="106"/>
      <c r="BS519" s="106"/>
      <c r="BT519" s="106"/>
      <c r="BU519" s="106"/>
    </row>
    <row r="520" spans="15:73" x14ac:dyDescent="0.25"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6"/>
      <c r="BI520" s="106"/>
      <c r="BJ520" s="106"/>
      <c r="BK520" s="106"/>
      <c r="BL520" s="106"/>
      <c r="BM520" s="106"/>
      <c r="BN520" s="106"/>
      <c r="BO520" s="106"/>
      <c r="BP520" s="106"/>
      <c r="BQ520" s="106"/>
      <c r="BR520" s="106"/>
      <c r="BS520" s="106"/>
      <c r="BT520" s="106"/>
      <c r="BU520" s="106"/>
    </row>
    <row r="521" spans="15:73" x14ac:dyDescent="0.25"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6"/>
      <c r="BI521" s="106"/>
      <c r="BJ521" s="106"/>
      <c r="BK521" s="106"/>
      <c r="BL521" s="106"/>
      <c r="BM521" s="106"/>
      <c r="BN521" s="106"/>
      <c r="BO521" s="106"/>
      <c r="BP521" s="106"/>
      <c r="BQ521" s="106"/>
      <c r="BR521" s="106"/>
      <c r="BS521" s="106"/>
      <c r="BT521" s="106"/>
      <c r="BU521" s="106"/>
    </row>
    <row r="522" spans="15:73" x14ac:dyDescent="0.25"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6"/>
      <c r="BI522" s="106"/>
      <c r="BJ522" s="106"/>
      <c r="BK522" s="106"/>
      <c r="BL522" s="106"/>
      <c r="BM522" s="106"/>
      <c r="BN522" s="106"/>
      <c r="BO522" s="106"/>
      <c r="BP522" s="106"/>
      <c r="BQ522" s="106"/>
      <c r="BR522" s="106"/>
      <c r="BS522" s="106"/>
      <c r="BT522" s="106"/>
      <c r="BU522" s="106"/>
    </row>
    <row r="523" spans="15:73" x14ac:dyDescent="0.25"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6"/>
      <c r="BI523" s="106"/>
      <c r="BJ523" s="106"/>
      <c r="BK523" s="106"/>
      <c r="BL523" s="106"/>
      <c r="BM523" s="106"/>
      <c r="BN523" s="106"/>
      <c r="BO523" s="106"/>
      <c r="BP523" s="106"/>
      <c r="BQ523" s="106"/>
      <c r="BR523" s="106"/>
      <c r="BS523" s="106"/>
      <c r="BT523" s="106"/>
      <c r="BU523" s="106"/>
    </row>
    <row r="524" spans="15:73" x14ac:dyDescent="0.25"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6"/>
      <c r="BI524" s="106"/>
      <c r="BJ524" s="106"/>
      <c r="BK524" s="106"/>
      <c r="BL524" s="106"/>
      <c r="BM524" s="106"/>
      <c r="BN524" s="106"/>
      <c r="BO524" s="106"/>
      <c r="BP524" s="106"/>
      <c r="BQ524" s="106"/>
      <c r="BR524" s="106"/>
      <c r="BS524" s="106"/>
      <c r="BT524" s="106"/>
      <c r="BU524" s="106"/>
    </row>
    <row r="525" spans="15:73" x14ac:dyDescent="0.25"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6"/>
      <c r="BI525" s="106"/>
      <c r="BJ525" s="106"/>
      <c r="BK525" s="106"/>
      <c r="BL525" s="106"/>
      <c r="BM525" s="106"/>
      <c r="BN525" s="106"/>
      <c r="BO525" s="106"/>
      <c r="BP525" s="106"/>
      <c r="BQ525" s="106"/>
      <c r="BR525" s="106"/>
      <c r="BS525" s="106"/>
      <c r="BT525" s="106"/>
      <c r="BU525" s="106"/>
    </row>
    <row r="526" spans="15:73" x14ac:dyDescent="0.25"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6"/>
      <c r="BI526" s="106"/>
      <c r="BJ526" s="106"/>
      <c r="BK526" s="106"/>
      <c r="BL526" s="106"/>
      <c r="BM526" s="106"/>
      <c r="BN526" s="106"/>
      <c r="BO526" s="106"/>
      <c r="BP526" s="106"/>
      <c r="BQ526" s="106"/>
      <c r="BR526" s="106"/>
      <c r="BS526" s="106"/>
      <c r="BT526" s="106"/>
      <c r="BU526" s="106"/>
    </row>
    <row r="527" spans="15:73" x14ac:dyDescent="0.25"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6"/>
      <c r="BI527" s="106"/>
      <c r="BJ527" s="106"/>
      <c r="BK527" s="106"/>
      <c r="BL527" s="106"/>
      <c r="BM527" s="106"/>
      <c r="BN527" s="106"/>
      <c r="BO527" s="106"/>
      <c r="BP527" s="106"/>
      <c r="BQ527" s="106"/>
      <c r="BR527" s="106"/>
      <c r="BS527" s="106"/>
      <c r="BT527" s="106"/>
      <c r="BU527" s="106"/>
    </row>
    <row r="528" spans="15:73" x14ac:dyDescent="0.25"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6"/>
      <c r="BI528" s="106"/>
      <c r="BJ528" s="106"/>
      <c r="BK528" s="106"/>
      <c r="BL528" s="106"/>
      <c r="BM528" s="106"/>
      <c r="BN528" s="106"/>
      <c r="BO528" s="106"/>
      <c r="BP528" s="106"/>
      <c r="BQ528" s="106"/>
      <c r="BR528" s="106"/>
      <c r="BS528" s="106"/>
      <c r="BT528" s="106"/>
      <c r="BU528" s="106"/>
    </row>
    <row r="529" spans="15:73" x14ac:dyDescent="0.25"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6"/>
      <c r="BI529" s="106"/>
      <c r="BJ529" s="106"/>
      <c r="BK529" s="106"/>
      <c r="BL529" s="106"/>
      <c r="BM529" s="106"/>
      <c r="BN529" s="106"/>
      <c r="BO529" s="106"/>
      <c r="BP529" s="106"/>
      <c r="BQ529" s="106"/>
      <c r="BR529" s="106"/>
      <c r="BS529" s="106"/>
      <c r="BT529" s="106"/>
      <c r="BU529" s="106"/>
    </row>
    <row r="530" spans="15:73" x14ac:dyDescent="0.25"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6"/>
      <c r="BI530" s="106"/>
      <c r="BJ530" s="106"/>
      <c r="BK530" s="106"/>
      <c r="BL530" s="106"/>
      <c r="BM530" s="106"/>
      <c r="BN530" s="106"/>
      <c r="BO530" s="106"/>
      <c r="BP530" s="106"/>
      <c r="BQ530" s="106"/>
      <c r="BR530" s="106"/>
      <c r="BS530" s="106"/>
      <c r="BT530" s="106"/>
      <c r="BU530" s="106"/>
    </row>
    <row r="531" spans="15:73" x14ac:dyDescent="0.25"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6"/>
      <c r="BI531" s="106"/>
      <c r="BJ531" s="106"/>
      <c r="BK531" s="106"/>
      <c r="BL531" s="106"/>
      <c r="BM531" s="106"/>
      <c r="BN531" s="106"/>
      <c r="BO531" s="106"/>
      <c r="BP531" s="106"/>
      <c r="BQ531" s="106"/>
      <c r="BR531" s="106"/>
      <c r="BS531" s="106"/>
      <c r="BT531" s="106"/>
      <c r="BU531" s="106"/>
    </row>
    <row r="532" spans="15:73" x14ac:dyDescent="0.25"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6"/>
      <c r="BI532" s="106"/>
      <c r="BJ532" s="106"/>
      <c r="BK532" s="106"/>
      <c r="BL532" s="106"/>
      <c r="BM532" s="106"/>
      <c r="BN532" s="106"/>
      <c r="BO532" s="106"/>
      <c r="BP532" s="106"/>
      <c r="BQ532" s="106"/>
      <c r="BR532" s="106"/>
      <c r="BS532" s="106"/>
      <c r="BT532" s="106"/>
      <c r="BU532" s="106"/>
    </row>
    <row r="533" spans="15:73" x14ac:dyDescent="0.25"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6"/>
      <c r="BI533" s="106"/>
      <c r="BJ533" s="106"/>
      <c r="BK533" s="106"/>
      <c r="BL533" s="106"/>
      <c r="BM533" s="106"/>
      <c r="BN533" s="106"/>
      <c r="BO533" s="106"/>
      <c r="BP533" s="106"/>
      <c r="BQ533" s="106"/>
      <c r="BR533" s="106"/>
      <c r="BS533" s="106"/>
      <c r="BT533" s="106"/>
      <c r="BU533" s="106"/>
    </row>
    <row r="534" spans="15:73" x14ac:dyDescent="0.25"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6"/>
      <c r="BI534" s="106"/>
      <c r="BJ534" s="106"/>
      <c r="BK534" s="106"/>
      <c r="BL534" s="106"/>
      <c r="BM534" s="106"/>
      <c r="BN534" s="106"/>
      <c r="BO534" s="106"/>
      <c r="BP534" s="106"/>
      <c r="BQ534" s="106"/>
      <c r="BR534" s="106"/>
      <c r="BS534" s="106"/>
      <c r="BT534" s="106"/>
      <c r="BU534" s="106"/>
    </row>
    <row r="535" spans="15:73" x14ac:dyDescent="0.25"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6"/>
      <c r="BI535" s="106"/>
      <c r="BJ535" s="106"/>
      <c r="BK535" s="106"/>
      <c r="BL535" s="106"/>
      <c r="BM535" s="106"/>
      <c r="BN535" s="106"/>
      <c r="BO535" s="106"/>
      <c r="BP535" s="106"/>
      <c r="BQ535" s="106"/>
      <c r="BR535" s="106"/>
      <c r="BS535" s="106"/>
      <c r="BT535" s="106"/>
      <c r="BU535" s="106"/>
    </row>
    <row r="536" spans="15:73" x14ac:dyDescent="0.25"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6"/>
      <c r="BI536" s="106"/>
      <c r="BJ536" s="106"/>
      <c r="BK536" s="106"/>
      <c r="BL536" s="106"/>
      <c r="BM536" s="106"/>
      <c r="BN536" s="106"/>
      <c r="BO536" s="106"/>
      <c r="BP536" s="106"/>
      <c r="BQ536" s="106"/>
      <c r="BR536" s="106"/>
      <c r="BS536" s="106"/>
      <c r="BT536" s="106"/>
      <c r="BU536" s="106"/>
    </row>
    <row r="537" spans="15:73" x14ac:dyDescent="0.25"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6"/>
      <c r="BI537" s="106"/>
      <c r="BJ537" s="106"/>
      <c r="BK537" s="106"/>
      <c r="BL537" s="106"/>
      <c r="BM537" s="106"/>
      <c r="BN537" s="106"/>
      <c r="BO537" s="106"/>
      <c r="BP537" s="106"/>
      <c r="BQ537" s="106"/>
      <c r="BR537" s="106"/>
      <c r="BS537" s="106"/>
      <c r="BT537" s="106"/>
      <c r="BU537" s="106"/>
    </row>
    <row r="538" spans="15:73" x14ac:dyDescent="0.25"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6"/>
      <c r="BI538" s="106"/>
      <c r="BJ538" s="106"/>
      <c r="BK538" s="106"/>
      <c r="BL538" s="106"/>
      <c r="BM538" s="106"/>
      <c r="BN538" s="106"/>
      <c r="BO538" s="106"/>
      <c r="BP538" s="106"/>
      <c r="BQ538" s="106"/>
      <c r="BR538" s="106"/>
      <c r="BS538" s="106"/>
      <c r="BT538" s="106"/>
      <c r="BU538" s="106"/>
    </row>
    <row r="539" spans="15:73" x14ac:dyDescent="0.25"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6"/>
      <c r="BI539" s="106"/>
      <c r="BJ539" s="106"/>
      <c r="BK539" s="106"/>
      <c r="BL539" s="106"/>
      <c r="BM539" s="106"/>
      <c r="BN539" s="106"/>
      <c r="BO539" s="106"/>
      <c r="BP539" s="106"/>
      <c r="BQ539" s="106"/>
      <c r="BR539" s="106"/>
      <c r="BS539" s="106"/>
      <c r="BT539" s="106"/>
      <c r="BU539" s="106"/>
    </row>
    <row r="540" spans="15:73" x14ac:dyDescent="0.25"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  <c r="AZ540" s="106"/>
      <c r="BA540" s="106"/>
      <c r="BB540" s="106"/>
      <c r="BC540" s="106"/>
      <c r="BD540" s="106"/>
      <c r="BE540" s="106"/>
      <c r="BF540" s="106"/>
      <c r="BG540" s="106"/>
      <c r="BH540" s="106"/>
      <c r="BI540" s="106"/>
      <c r="BJ540" s="106"/>
      <c r="BK540" s="106"/>
      <c r="BL540" s="106"/>
      <c r="BM540" s="106"/>
      <c r="BN540" s="106"/>
      <c r="BO540" s="106"/>
      <c r="BP540" s="106"/>
      <c r="BQ540" s="106"/>
      <c r="BR540" s="106"/>
      <c r="BS540" s="106"/>
      <c r="BT540" s="106"/>
      <c r="BU540" s="106"/>
    </row>
    <row r="541" spans="15:73" x14ac:dyDescent="0.25"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  <c r="AJ541" s="106"/>
      <c r="AK541" s="106"/>
      <c r="AL541" s="106"/>
      <c r="AM541" s="106"/>
      <c r="AN541" s="106"/>
      <c r="AO541" s="106"/>
      <c r="AP541" s="106"/>
      <c r="AQ541" s="106"/>
      <c r="AR541" s="106"/>
      <c r="AS541" s="106"/>
      <c r="AT541" s="106"/>
      <c r="AU541" s="106"/>
      <c r="AV541" s="106"/>
      <c r="AW541" s="106"/>
      <c r="AX541" s="106"/>
      <c r="AY541" s="106"/>
      <c r="AZ541" s="106"/>
      <c r="BA541" s="106"/>
      <c r="BB541" s="106"/>
      <c r="BC541" s="106"/>
      <c r="BD541" s="106"/>
      <c r="BE541" s="106"/>
      <c r="BF541" s="106"/>
      <c r="BG541" s="106"/>
      <c r="BH541" s="106"/>
      <c r="BI541" s="106"/>
      <c r="BJ541" s="106"/>
      <c r="BK541" s="106"/>
      <c r="BL541" s="106"/>
      <c r="BM541" s="106"/>
      <c r="BN541" s="106"/>
      <c r="BO541" s="106"/>
      <c r="BP541" s="106"/>
      <c r="BQ541" s="106"/>
      <c r="BR541" s="106"/>
      <c r="BS541" s="106"/>
      <c r="BT541" s="106"/>
      <c r="BU541" s="106"/>
    </row>
    <row r="542" spans="15:73" x14ac:dyDescent="0.25"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  <c r="AJ542" s="106"/>
      <c r="AK542" s="106"/>
      <c r="AL542" s="106"/>
      <c r="AM542" s="106"/>
      <c r="AN542" s="106"/>
      <c r="AO542" s="106"/>
      <c r="AP542" s="106"/>
      <c r="AQ542" s="106"/>
      <c r="AR542" s="106"/>
      <c r="AS542" s="106"/>
      <c r="AT542" s="106"/>
      <c r="AU542" s="106"/>
      <c r="AV542" s="106"/>
      <c r="AW542" s="106"/>
      <c r="AX542" s="106"/>
      <c r="AY542" s="106"/>
      <c r="AZ542" s="106"/>
      <c r="BA542" s="106"/>
      <c r="BB542" s="106"/>
      <c r="BC542" s="106"/>
      <c r="BD542" s="106"/>
      <c r="BE542" s="106"/>
      <c r="BF542" s="106"/>
      <c r="BG542" s="106"/>
      <c r="BH542" s="106"/>
      <c r="BI542" s="106"/>
      <c r="BJ542" s="106"/>
      <c r="BK542" s="106"/>
      <c r="BL542" s="106"/>
      <c r="BM542" s="106"/>
      <c r="BN542" s="106"/>
      <c r="BO542" s="106"/>
      <c r="BP542" s="106"/>
      <c r="BQ542" s="106"/>
      <c r="BR542" s="106"/>
      <c r="BS542" s="106"/>
      <c r="BT542" s="106"/>
      <c r="BU542" s="106"/>
    </row>
  </sheetData>
  <dataConsolidate link="1"/>
  <phoneticPr fontId="30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8"/>
  <sheetViews>
    <sheetView showGridLines="0" zoomScale="85" zoomScaleNormal="85" workbookViewId="0">
      <selection activeCell="J7" sqref="J7"/>
    </sheetView>
  </sheetViews>
  <sheetFormatPr defaultColWidth="9.109375" defaultRowHeight="13.2" x14ac:dyDescent="0.25"/>
  <cols>
    <col min="1" max="1" width="16" customWidth="1"/>
    <col min="2" max="2" width="12.33203125" bestFit="1" customWidth="1"/>
    <col min="3" max="3" width="13" bestFit="1" customWidth="1"/>
    <col min="4" max="4" width="8.6640625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 x14ac:dyDescent="0.25">
      <c r="A2" s="16"/>
      <c r="B2" s="167" t="s">
        <v>57</v>
      </c>
      <c r="C2" s="167"/>
      <c r="D2" s="167"/>
      <c r="E2" s="167"/>
      <c r="F2" s="16"/>
      <c r="G2" s="167" t="s">
        <v>58</v>
      </c>
      <c r="H2" s="167"/>
      <c r="I2" s="167"/>
      <c r="J2" s="16"/>
    </row>
    <row r="3" spans="1:12" ht="13.8" x14ac:dyDescent="0.25">
      <c r="A3" s="16" t="s">
        <v>17</v>
      </c>
      <c r="B3" s="18" t="s">
        <v>20</v>
      </c>
      <c r="C3" s="21"/>
      <c r="D3" s="21"/>
      <c r="E3" s="21"/>
      <c r="F3" s="21"/>
      <c r="G3" s="21"/>
      <c r="H3" s="21"/>
      <c r="I3" s="21"/>
      <c r="J3" s="18" t="s">
        <v>59</v>
      </c>
    </row>
    <row r="4" spans="1:12" ht="13.8" x14ac:dyDescent="0.25">
      <c r="A4" s="22" t="s">
        <v>60</v>
      </c>
      <c r="B4" s="24" t="s">
        <v>61</v>
      </c>
      <c r="C4" s="24" t="s">
        <v>26</v>
      </c>
      <c r="D4" s="24" t="s">
        <v>27</v>
      </c>
      <c r="E4" s="26" t="s">
        <v>62</v>
      </c>
      <c r="F4" s="25"/>
      <c r="G4" s="24" t="s">
        <v>63</v>
      </c>
      <c r="H4" s="24" t="s">
        <v>64</v>
      </c>
      <c r="I4" s="24" t="s">
        <v>62</v>
      </c>
      <c r="J4" s="24" t="s">
        <v>65</v>
      </c>
    </row>
    <row r="5" spans="1:12" ht="14.4" x14ac:dyDescent="0.3">
      <c r="A5" s="16"/>
      <c r="B5" s="168" t="s">
        <v>66</v>
      </c>
      <c r="C5" s="168"/>
      <c r="D5" s="168"/>
      <c r="E5" s="168"/>
      <c r="F5" s="168"/>
      <c r="G5" s="168"/>
      <c r="H5" s="168"/>
      <c r="I5" s="168"/>
      <c r="J5" s="168"/>
    </row>
    <row r="6" spans="1:12" ht="13.8" x14ac:dyDescent="0.25">
      <c r="A6" s="16" t="s">
        <v>37</v>
      </c>
      <c r="B6" s="44">
        <v>340.786</v>
      </c>
      <c r="C6" s="45">
        <f>C23</f>
        <v>51814.455000000002</v>
      </c>
      <c r="D6" s="45">
        <f>D23</f>
        <v>654.51012091299992</v>
      </c>
      <c r="E6" s="33">
        <f>E23</f>
        <v>52809.751120913003</v>
      </c>
      <c r="F6" s="45"/>
      <c r="G6" s="45">
        <f>G23</f>
        <v>38958.712443149998</v>
      </c>
      <c r="H6" s="45">
        <f>H23</f>
        <v>13540.111898224999</v>
      </c>
      <c r="I6" s="45">
        <f>I23</f>
        <v>52498.824231143997</v>
      </c>
      <c r="J6" s="45">
        <f>J22</f>
        <v>310.92700000000002</v>
      </c>
    </row>
    <row r="7" spans="1:12" ht="16.2" x14ac:dyDescent="0.25">
      <c r="A7" s="16" t="s">
        <v>155</v>
      </c>
      <c r="B7" s="44">
        <f>J6</f>
        <v>310.92700000000002</v>
      </c>
      <c r="C7" s="45">
        <v>52564.07</v>
      </c>
      <c r="D7" s="45">
        <v>675</v>
      </c>
      <c r="E7" s="33">
        <f>SUM(B7:D7)</f>
        <v>53549.997000000003</v>
      </c>
      <c r="F7" s="45"/>
      <c r="G7" s="45">
        <v>39200</v>
      </c>
      <c r="H7" s="45">
        <v>14000</v>
      </c>
      <c r="I7" s="45">
        <f>G7+H7</f>
        <v>53200</v>
      </c>
      <c r="J7" s="45">
        <f>E7-I7</f>
        <v>349.99700000000303</v>
      </c>
    </row>
    <row r="8" spans="1:12" ht="16.2" x14ac:dyDescent="0.25">
      <c r="A8" s="16" t="s">
        <v>154</v>
      </c>
      <c r="B8" s="44">
        <f>J7</f>
        <v>349.99700000000303</v>
      </c>
      <c r="C8" s="45">
        <v>54175</v>
      </c>
      <c r="D8" s="45">
        <v>650</v>
      </c>
      <c r="E8" s="33">
        <f>SUM(B8:D8)</f>
        <v>55174.997000000003</v>
      </c>
      <c r="F8" s="45"/>
      <c r="G8" s="45">
        <v>39975</v>
      </c>
      <c r="H8" s="45">
        <v>14800</v>
      </c>
      <c r="I8" s="45">
        <f>G8+H8</f>
        <v>54775</v>
      </c>
      <c r="J8" s="45">
        <f>E8-I8</f>
        <v>399.99700000000303</v>
      </c>
    </row>
    <row r="9" spans="1:12" ht="13.8" x14ac:dyDescent="0.25">
      <c r="A9" s="16"/>
      <c r="B9" s="46"/>
      <c r="C9" s="46"/>
      <c r="D9" s="46"/>
      <c r="E9" s="46"/>
      <c r="F9" s="46"/>
      <c r="G9" s="45"/>
      <c r="H9" s="46"/>
      <c r="I9" s="46"/>
      <c r="J9" s="46"/>
    </row>
    <row r="10" spans="1:12" ht="13.8" x14ac:dyDescent="0.25">
      <c r="A10" s="36" t="s">
        <v>37</v>
      </c>
      <c r="B10" s="47"/>
      <c r="C10" s="6"/>
      <c r="D10" s="6"/>
      <c r="E10" s="6"/>
      <c r="F10" s="6"/>
      <c r="G10" s="6"/>
      <c r="H10" s="6"/>
      <c r="I10" s="6"/>
      <c r="J10" s="6"/>
    </row>
    <row r="11" spans="1:12" ht="14.4" x14ac:dyDescent="0.3">
      <c r="A11" s="16" t="s">
        <v>39</v>
      </c>
      <c r="B11" s="47">
        <f>B6</f>
        <v>340.786</v>
      </c>
      <c r="C11" s="6">
        <v>4591.6390000000001</v>
      </c>
      <c r="D11" s="6">
        <f>(56544.1*1.10231)/1000</f>
        <v>62.329126870999993</v>
      </c>
      <c r="E11" s="6">
        <f t="shared" ref="E11:E22" si="0">SUM(B11:D11)</f>
        <v>4994.7541268710002</v>
      </c>
      <c r="F11" s="6"/>
      <c r="G11" s="6">
        <f t="shared" ref="G11:G22" si="1">I11-H11</f>
        <v>3492.8224392370003</v>
      </c>
      <c r="H11" s="6">
        <f>(989241.4*1.10231)/1000</f>
        <v>1090.4506876339999</v>
      </c>
      <c r="I11" s="5">
        <f t="shared" ref="I11:I22" si="2">E11-J11</f>
        <v>4583.2731268710004</v>
      </c>
      <c r="J11" s="6">
        <v>411.48099999999999</v>
      </c>
      <c r="K11" s="107"/>
      <c r="L11" s="111"/>
    </row>
    <row r="12" spans="1:12" ht="14.4" x14ac:dyDescent="0.3">
      <c r="A12" s="16" t="s">
        <v>40</v>
      </c>
      <c r="B12" s="47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3282.1252583210003</v>
      </c>
      <c r="H12" s="6">
        <f>(1131886.2*1.10231)/1000</f>
        <v>1247.689477122</v>
      </c>
      <c r="I12" s="5">
        <f t="shared" si="2"/>
        <v>4529.8147354430002</v>
      </c>
      <c r="J12" s="6">
        <v>375.61200000000002</v>
      </c>
      <c r="K12" s="107"/>
      <c r="L12" s="111"/>
    </row>
    <row r="13" spans="1:12" ht="14.4" x14ac:dyDescent="0.3">
      <c r="A13" s="16" t="s">
        <v>42</v>
      </c>
      <c r="B13" s="47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3225.7453203929999</v>
      </c>
      <c r="H13" s="6">
        <f>(1274701.3*1.10231)/1000</f>
        <v>1405.115990003</v>
      </c>
      <c r="I13" s="5">
        <f t="shared" si="2"/>
        <v>4630.8613103959997</v>
      </c>
      <c r="J13" s="6">
        <v>411.30900000000003</v>
      </c>
      <c r="K13" s="107"/>
      <c r="L13" s="111"/>
    </row>
    <row r="14" spans="1:12" ht="14.4" x14ac:dyDescent="0.3">
      <c r="A14" s="16" t="s">
        <v>43</v>
      </c>
      <c r="B14" s="47">
        <f t="shared" si="3"/>
        <v>411.30900000000003</v>
      </c>
      <c r="C14" s="6">
        <v>4533.1530000000002</v>
      </c>
      <c r="D14" s="6">
        <f>(40245.8*1.10231)/1000</f>
        <v>44.363347798</v>
      </c>
      <c r="E14" s="6">
        <f t="shared" si="0"/>
        <v>4988.8253477980006</v>
      </c>
      <c r="F14" s="6"/>
      <c r="G14" s="6">
        <f t="shared" si="1"/>
        <v>3261.1777285130011</v>
      </c>
      <c r="H14" s="6">
        <f>(1176523.5*1.10231)/1000</f>
        <v>1296.8936192849999</v>
      </c>
      <c r="I14" s="5">
        <f t="shared" si="2"/>
        <v>4558.0713477980007</v>
      </c>
      <c r="J14" s="6">
        <v>430.75400000000002</v>
      </c>
      <c r="K14" s="107"/>
      <c r="L14" s="111"/>
    </row>
    <row r="15" spans="1:12" ht="14.4" x14ac:dyDescent="0.3">
      <c r="A15" s="16" t="s">
        <v>44</v>
      </c>
      <c r="B15" s="47">
        <f t="shared" si="3"/>
        <v>430.75400000000002</v>
      </c>
      <c r="C15" s="6">
        <v>4089.9549999999999</v>
      </c>
      <c r="D15" s="6">
        <f>(46708.1*1.10231)/1000</f>
        <v>51.486805710999995</v>
      </c>
      <c r="E15" s="6">
        <f t="shared" si="0"/>
        <v>4572.1958057109996</v>
      </c>
      <c r="F15" s="6"/>
      <c r="G15" s="6">
        <f t="shared" si="1"/>
        <v>3111.5948929989995</v>
      </c>
      <c r="H15" s="6">
        <f>(974975.2*1.10231)/1000</f>
        <v>1074.7249127119999</v>
      </c>
      <c r="I15" s="5">
        <f t="shared" si="2"/>
        <v>4186.3198057109994</v>
      </c>
      <c r="J15" s="6">
        <v>385.87600000000003</v>
      </c>
      <c r="K15" s="107"/>
      <c r="L15" s="111"/>
    </row>
    <row r="16" spans="1:12" ht="14.4" x14ac:dyDescent="0.3">
      <c r="A16" s="16" t="s">
        <v>46</v>
      </c>
      <c r="B16" s="47">
        <f t="shared" si="3"/>
        <v>385.87600000000003</v>
      </c>
      <c r="C16" s="6">
        <v>4549.6310000000003</v>
      </c>
      <c r="D16" s="6">
        <f>(36595.5*1.10231)/1000</f>
        <v>40.339585604999996</v>
      </c>
      <c r="E16" s="6">
        <f t="shared" si="0"/>
        <v>4975.8465856050007</v>
      </c>
      <c r="F16" s="6"/>
      <c r="G16" s="6">
        <f t="shared" si="1"/>
        <v>3358.6433219240007</v>
      </c>
      <c r="H16" s="6">
        <f>(1121495.1*1.10231)/1000</f>
        <v>1236.2352636810001</v>
      </c>
      <c r="I16" s="5">
        <f t="shared" si="2"/>
        <v>4594.8785856050008</v>
      </c>
      <c r="J16" s="6">
        <v>380.96799999999996</v>
      </c>
      <c r="K16" s="107"/>
      <c r="L16" s="111"/>
    </row>
    <row r="17" spans="1:12" ht="14.4" x14ac:dyDescent="0.3">
      <c r="A17" s="16" t="s">
        <v>47</v>
      </c>
      <c r="B17" s="47">
        <f t="shared" si="3"/>
        <v>380.96799999999996</v>
      </c>
      <c r="C17" s="6">
        <v>4254.5450000000001</v>
      </c>
      <c r="D17" s="6">
        <f>(43906*1.10231)/1000</f>
        <v>48.398022859999998</v>
      </c>
      <c r="E17" s="6">
        <f t="shared" si="0"/>
        <v>4683.9110228600002</v>
      </c>
      <c r="F17" s="6"/>
      <c r="G17" s="6">
        <f t="shared" si="1"/>
        <v>3059.0861262310009</v>
      </c>
      <c r="H17" s="6">
        <f>(1070305.9*1.10231)/1000</f>
        <v>1179.8088966289999</v>
      </c>
      <c r="I17" s="5">
        <f t="shared" si="2"/>
        <v>4238.8950228600006</v>
      </c>
      <c r="J17" s="6">
        <v>445.01600000000002</v>
      </c>
      <c r="K17" s="107"/>
      <c r="L17" s="111"/>
    </row>
    <row r="18" spans="1:12" ht="14.4" x14ac:dyDescent="0.3">
      <c r="A18" s="16" t="s">
        <v>48</v>
      </c>
      <c r="B18" s="47">
        <f t="shared" si="3"/>
        <v>445.01600000000002</v>
      </c>
      <c r="C18" s="6">
        <v>4260.0889999999999</v>
      </c>
      <c r="D18" s="112">
        <f>(77175.9*1.10231)/1000</f>
        <v>85.071766328999985</v>
      </c>
      <c r="E18" s="6">
        <f t="shared" si="0"/>
        <v>4790.1767663289993</v>
      </c>
      <c r="F18" s="6"/>
      <c r="G18" s="6">
        <f t="shared" si="1"/>
        <v>3205.4898923439991</v>
      </c>
      <c r="H18" s="112">
        <f>(1016893.5*1.10231)/1000</f>
        <v>1120.931873985</v>
      </c>
      <c r="I18" s="5">
        <f t="shared" si="2"/>
        <v>4326.4217663289992</v>
      </c>
      <c r="J18" s="6">
        <v>463.755</v>
      </c>
      <c r="K18" s="107"/>
      <c r="L18" s="111"/>
    </row>
    <row r="19" spans="1:12" ht="14.4" x14ac:dyDescent="0.3">
      <c r="A19" s="16" t="s">
        <v>50</v>
      </c>
      <c r="B19" s="47">
        <f t="shared" si="3"/>
        <v>463.755</v>
      </c>
      <c r="C19" s="6">
        <v>4106.5650000000005</v>
      </c>
      <c r="D19" s="112">
        <f>(61421.4*1.10231)/1000</f>
        <v>67.705423433999997</v>
      </c>
      <c r="E19" s="6">
        <f t="shared" si="0"/>
        <v>4638.0254234340009</v>
      </c>
      <c r="F19" s="6"/>
      <c r="G19" s="6">
        <f t="shared" si="1"/>
        <v>3118.3433548350013</v>
      </c>
      <c r="H19" s="112">
        <f>(1054492.9*1.10231)/1000</f>
        <v>1162.3780685989998</v>
      </c>
      <c r="I19" s="5">
        <f t="shared" si="2"/>
        <v>4280.7214234340008</v>
      </c>
      <c r="J19" s="6">
        <v>357.30399999999997</v>
      </c>
      <c r="K19" s="107"/>
    </row>
    <row r="20" spans="1:12" ht="14.4" x14ac:dyDescent="0.3">
      <c r="A20" s="16" t="s">
        <v>51</v>
      </c>
      <c r="B20" s="47">
        <f>J19</f>
        <v>357.30399999999997</v>
      </c>
      <c r="C20" s="6">
        <v>4270.28</v>
      </c>
      <c r="D20" s="112">
        <f>(67308.7*1.10231)/1000</f>
        <v>74.195053096999999</v>
      </c>
      <c r="E20" s="6">
        <f t="shared" si="0"/>
        <v>4701.7790530969996</v>
      </c>
      <c r="F20" s="6"/>
      <c r="G20" s="6">
        <f t="shared" si="1"/>
        <v>3245.3890736799999</v>
      </c>
      <c r="H20" s="112">
        <f>(843380.7*1.10231)/1000</f>
        <v>929.66697941699988</v>
      </c>
      <c r="I20" s="5">
        <f t="shared" si="2"/>
        <v>4175.0560530969997</v>
      </c>
      <c r="J20" s="6">
        <v>526.72299999999996</v>
      </c>
      <c r="K20" s="107"/>
    </row>
    <row r="21" spans="1:12" ht="14.4" x14ac:dyDescent="0.3">
      <c r="A21" s="16" t="s">
        <v>52</v>
      </c>
      <c r="B21" s="47">
        <f>J20</f>
        <v>526.72299999999996</v>
      </c>
      <c r="C21" s="6">
        <v>4147.2370000000001</v>
      </c>
      <c r="D21" s="112">
        <f>(45440.9*1.10231)/1000</f>
        <v>50.089958478999996</v>
      </c>
      <c r="E21" s="6">
        <f t="shared" si="0"/>
        <v>4724.0499584790005</v>
      </c>
      <c r="F21" s="6"/>
      <c r="G21" s="6">
        <f t="shared" si="1"/>
        <v>3479.0613874090009</v>
      </c>
      <c r="H21" s="112">
        <f>(813797*1.10231)/1000</f>
        <v>897.0565710699999</v>
      </c>
      <c r="I21" s="5">
        <f t="shared" si="2"/>
        <v>4376.1179584790007</v>
      </c>
      <c r="J21" s="6">
        <v>347.93200000000002</v>
      </c>
      <c r="K21" s="107"/>
    </row>
    <row r="22" spans="1:12" ht="14.4" x14ac:dyDescent="0.3">
      <c r="A22" s="16" t="s">
        <v>38</v>
      </c>
      <c r="B22" s="47">
        <f>J21</f>
        <v>347.93200000000002</v>
      </c>
      <c r="C22" s="6">
        <v>3925.0389999999998</v>
      </c>
      <c r="D22" s="112">
        <f>(51119.1*1.10231)/1000</f>
        <v>56.349095120999991</v>
      </c>
      <c r="E22" s="6">
        <f t="shared" si="0"/>
        <v>4329.3200951209992</v>
      </c>
      <c r="F22" s="6"/>
      <c r="G22" s="6">
        <f t="shared" si="1"/>
        <v>3119.233647263999</v>
      </c>
      <c r="H22" s="112">
        <f>(815704.7*1.10231)/1000</f>
        <v>899.1594478569998</v>
      </c>
      <c r="I22" s="5">
        <f t="shared" si="2"/>
        <v>4018.3930951209991</v>
      </c>
      <c r="J22" s="6">
        <v>310.92700000000002</v>
      </c>
      <c r="K22" s="115"/>
    </row>
    <row r="23" spans="1:12" ht="14.4" x14ac:dyDescent="0.3">
      <c r="A23" s="16" t="s">
        <v>28</v>
      </c>
      <c r="B23" s="47"/>
      <c r="C23" s="6">
        <f>SUM(C11:C22)</f>
        <v>51814.455000000002</v>
      </c>
      <c r="D23" s="6">
        <f>(593762.3*1.10231)/1000</f>
        <v>654.51012091299992</v>
      </c>
      <c r="E23" s="6">
        <f>B11+C23+D23</f>
        <v>52809.751120913003</v>
      </c>
      <c r="F23" s="6"/>
      <c r="G23" s="6">
        <f>SUM(G11:G22)</f>
        <v>38958.712443149998</v>
      </c>
      <c r="H23" s="33">
        <f>(12283397.5*1.10231)/1000</f>
        <v>13540.111898224999</v>
      </c>
      <c r="I23" s="6">
        <f>SUM(I11:I22)</f>
        <v>52498.824231143997</v>
      </c>
      <c r="J23" s="6"/>
      <c r="K23" s="107"/>
    </row>
    <row r="24" spans="1:12" ht="14.4" x14ac:dyDescent="0.3">
      <c r="A24" s="16"/>
      <c r="B24" s="47"/>
      <c r="C24" s="6"/>
      <c r="D24" s="6"/>
      <c r="E24" s="6"/>
      <c r="F24" s="6"/>
      <c r="G24" s="6"/>
      <c r="H24" s="6"/>
      <c r="I24" s="6"/>
      <c r="J24" s="6"/>
      <c r="K24" s="107"/>
    </row>
    <row r="25" spans="1:12" ht="14.4" x14ac:dyDescent="0.3">
      <c r="A25" s="36" t="s">
        <v>54</v>
      </c>
      <c r="B25" s="47"/>
      <c r="C25" s="6"/>
      <c r="D25" s="6"/>
      <c r="E25" s="6"/>
      <c r="F25" s="6"/>
      <c r="G25" s="6"/>
      <c r="H25" s="6"/>
      <c r="I25" s="6"/>
      <c r="J25" s="6"/>
      <c r="K25" s="107"/>
    </row>
    <row r="26" spans="1:12" ht="14.4" x14ac:dyDescent="0.3">
      <c r="A26" s="16" t="s">
        <v>39</v>
      </c>
      <c r="B26" s="47">
        <f>J22</f>
        <v>310.92700000000002</v>
      </c>
      <c r="C26" s="6">
        <v>4603.3959999999997</v>
      </c>
      <c r="D26" s="6">
        <f>(52509.6*1.10231)/1000</f>
        <v>57.88185717599999</v>
      </c>
      <c r="E26" s="6">
        <f t="shared" ref="E26:E33" si="4">SUM(B26:D26)</f>
        <v>4972.2048571759997</v>
      </c>
      <c r="F26" s="6"/>
      <c r="G26" s="6">
        <f t="shared" ref="G26:G33" si="5">I26-H26</f>
        <v>3639.9264505289998</v>
      </c>
      <c r="H26" s="6">
        <f>(865513.7*1.10231)/1000</f>
        <v>954.06440664699983</v>
      </c>
      <c r="I26" s="5">
        <f t="shared" ref="I26:I33" si="6">E26-J26</f>
        <v>4593.9908571759997</v>
      </c>
      <c r="J26" s="6">
        <v>378.214</v>
      </c>
      <c r="K26" s="107"/>
    </row>
    <row r="27" spans="1:12" ht="14.4" x14ac:dyDescent="0.3">
      <c r="A27" s="16" t="s">
        <v>40</v>
      </c>
      <c r="B27" s="47">
        <f t="shared" ref="B27:B33" si="7">J26</f>
        <v>378.214</v>
      </c>
      <c r="C27" s="6">
        <v>4469.9660000000003</v>
      </c>
      <c r="D27" s="6">
        <f>(53341.5*1.10231)/1000</f>
        <v>58.798868864999996</v>
      </c>
      <c r="E27" s="6">
        <f t="shared" si="4"/>
        <v>4906.9788688650005</v>
      </c>
      <c r="F27" s="6"/>
      <c r="G27" s="6">
        <f t="shared" si="5"/>
        <v>3367.700833154001</v>
      </c>
      <c r="H27" s="6">
        <f>(1079708.1*1.10231)/1000</f>
        <v>1190.173035711</v>
      </c>
      <c r="I27" s="5">
        <f t="shared" si="6"/>
        <v>4557.873868865001</v>
      </c>
      <c r="J27" s="6">
        <v>349.10500000000002</v>
      </c>
      <c r="K27" s="107"/>
    </row>
    <row r="28" spans="1:12" ht="14.4" x14ac:dyDescent="0.3">
      <c r="A28" s="16" t="s">
        <v>42</v>
      </c>
      <c r="B28" s="47">
        <f t="shared" si="7"/>
        <v>349.10500000000002</v>
      </c>
      <c r="C28" s="6">
        <v>4437.4089999999997</v>
      </c>
      <c r="D28" s="6">
        <f>(32194.3*1.10231)/1000</f>
        <v>35.488098832999995</v>
      </c>
      <c r="E28" s="6">
        <f t="shared" si="4"/>
        <v>4822.0020988329989</v>
      </c>
      <c r="F28" s="6"/>
      <c r="G28" s="6">
        <f t="shared" si="5"/>
        <v>3173.9462998459985</v>
      </c>
      <c r="H28" s="6">
        <f>(1081527.7*1.10231)/1000</f>
        <v>1192.1787989869997</v>
      </c>
      <c r="I28" s="5">
        <f t="shared" si="6"/>
        <v>4366.1250988329984</v>
      </c>
      <c r="J28" s="6">
        <v>455.87700000000001</v>
      </c>
      <c r="K28" s="107"/>
    </row>
    <row r="29" spans="1:12" ht="14.4" x14ac:dyDescent="0.3">
      <c r="A29" s="16" t="s">
        <v>43</v>
      </c>
      <c r="B29" s="47">
        <f t="shared" si="7"/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107"/>
    </row>
    <row r="30" spans="1:12" ht="13.8" x14ac:dyDescent="0.25">
      <c r="A30" s="16" t="s">
        <v>44</v>
      </c>
      <c r="B30" s="47">
        <f t="shared" si="7"/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40"/>
    </row>
    <row r="31" spans="1:12" ht="14.4" x14ac:dyDescent="0.3">
      <c r="A31" s="16" t="s">
        <v>46</v>
      </c>
      <c r="B31" s="47">
        <f t="shared" si="7"/>
        <v>475.65899999999999</v>
      </c>
      <c r="C31" s="6">
        <v>4698.1610000000001</v>
      </c>
      <c r="D31" s="6">
        <f>(43410.1*1.10231)/1000</f>
        <v>47.851387330999991</v>
      </c>
      <c r="E31" s="6">
        <f t="shared" si="4"/>
        <v>5221.671387331</v>
      </c>
      <c r="F31" s="6"/>
      <c r="G31" s="6">
        <f t="shared" si="5"/>
        <v>3369.7769356149997</v>
      </c>
      <c r="H31" s="6">
        <f>(1336143.6*1.10231)/1000</f>
        <v>1472.8444517160001</v>
      </c>
      <c r="I31" s="5">
        <f t="shared" si="6"/>
        <v>4842.6213873309998</v>
      </c>
      <c r="J31" s="6">
        <v>379.04999999999995</v>
      </c>
      <c r="K31" s="141"/>
    </row>
    <row r="32" spans="1:12" ht="14.4" x14ac:dyDescent="0.3">
      <c r="A32" s="16" t="s">
        <v>47</v>
      </c>
      <c r="B32" s="47">
        <f t="shared" si="7"/>
        <v>379.04999999999995</v>
      </c>
      <c r="C32" s="6">
        <v>4433.6350000000002</v>
      </c>
      <c r="D32" s="6">
        <f>(25951.8*1.10231)/1000</f>
        <v>28.606928657999998</v>
      </c>
      <c r="E32" s="6">
        <f t="shared" si="4"/>
        <v>4841.291928658</v>
      </c>
      <c r="F32" s="6"/>
      <c r="G32" s="6">
        <f t="shared" si="5"/>
        <v>3019.334526696</v>
      </c>
      <c r="H32" s="6">
        <f>(1128650.2*1.10231)/1000</f>
        <v>1244.1224019619999</v>
      </c>
      <c r="I32" s="5">
        <f t="shared" si="6"/>
        <v>4263.4569286579999</v>
      </c>
      <c r="J32" s="6">
        <v>577.83499999999992</v>
      </c>
      <c r="K32" s="141"/>
    </row>
    <row r="33" spans="1:11" ht="14.4" x14ac:dyDescent="0.3">
      <c r="A33" s="15" t="s">
        <v>48</v>
      </c>
      <c r="B33" s="48">
        <f t="shared" si="7"/>
        <v>577.83499999999992</v>
      </c>
      <c r="C33" s="41">
        <v>4461.268</v>
      </c>
      <c r="D33" s="41">
        <f>(50047.9*1.10231)/1000</f>
        <v>55.168300648999995</v>
      </c>
      <c r="E33" s="41">
        <f t="shared" si="4"/>
        <v>5094.2713006490003</v>
      </c>
      <c r="F33" s="41"/>
      <c r="G33" s="41">
        <f t="shared" si="5"/>
        <v>3474.6210888970008</v>
      </c>
      <c r="H33" s="41">
        <f>(1080559.2*1.10231)/1000</f>
        <v>1191.1112117519997</v>
      </c>
      <c r="I33" s="53">
        <f t="shared" si="6"/>
        <v>4665.7323006490005</v>
      </c>
      <c r="J33" s="41">
        <v>428.53899999999999</v>
      </c>
      <c r="K33" s="141"/>
    </row>
    <row r="34" spans="1:11" ht="16.2" x14ac:dyDescent="0.25">
      <c r="A34" s="49" t="s">
        <v>67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1" ht="14.4" x14ac:dyDescent="0.3">
      <c r="A35" s="16" t="s">
        <v>68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1" ht="13.8" x14ac:dyDescent="0.25">
      <c r="A36" s="21" t="s">
        <v>56</v>
      </c>
      <c r="B36" s="43">
        <f>Contents!A16</f>
        <v>45121</v>
      </c>
      <c r="C36" s="39"/>
      <c r="D36" s="34"/>
      <c r="E36" s="34"/>
      <c r="F36" s="34"/>
      <c r="G36" s="34"/>
      <c r="H36" s="34"/>
      <c r="I36" s="34"/>
      <c r="J36" s="34"/>
    </row>
    <row r="37" spans="1:11" x14ac:dyDescent="0.25">
      <c r="B37" s="50"/>
      <c r="C37" s="51"/>
      <c r="D37" s="50"/>
      <c r="E37" s="104"/>
      <c r="F37" s="50"/>
      <c r="G37" s="50"/>
      <c r="H37" s="52"/>
      <c r="I37" s="104"/>
      <c r="J37" s="50"/>
    </row>
    <row r="38" spans="1:11" x14ac:dyDescent="0.25">
      <c r="B38" s="50"/>
      <c r="C38" s="50"/>
      <c r="D38" s="50"/>
      <c r="E38" s="50"/>
      <c r="F38" s="50"/>
      <c r="G38" s="50"/>
      <c r="H38" s="50"/>
      <c r="I38" s="50"/>
      <c r="J38" s="50"/>
    </row>
  </sheetData>
  <mergeCells count="3">
    <mergeCell ref="G2:I2"/>
    <mergeCell ref="B5:J5"/>
    <mergeCell ref="B2:E2"/>
  </mergeCells>
  <phoneticPr fontId="30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7"/>
  <sheetViews>
    <sheetView showGridLines="0" zoomScale="85" zoomScaleNormal="85" workbookViewId="0">
      <selection activeCell="L6" sqref="L6"/>
    </sheetView>
  </sheetViews>
  <sheetFormatPr defaultColWidth="9.109375" defaultRowHeight="13.2" x14ac:dyDescent="0.25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 x14ac:dyDescent="0.25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 x14ac:dyDescent="0.25">
      <c r="A2" s="16"/>
      <c r="B2" s="167" t="s">
        <v>57</v>
      </c>
      <c r="C2" s="167"/>
      <c r="D2" s="167"/>
      <c r="E2" s="167"/>
      <c r="F2" s="16"/>
      <c r="G2" s="167" t="s">
        <v>58</v>
      </c>
      <c r="H2" s="167"/>
      <c r="I2" s="167"/>
      <c r="J2" s="124"/>
      <c r="K2" s="124"/>
      <c r="L2" s="16"/>
    </row>
    <row r="3" spans="1:14" ht="13.8" x14ac:dyDescent="0.25">
      <c r="A3" s="16" t="s">
        <v>17</v>
      </c>
      <c r="B3" s="18" t="s">
        <v>69</v>
      </c>
      <c r="C3" s="18" t="s">
        <v>26</v>
      </c>
      <c r="D3" s="18" t="s">
        <v>70</v>
      </c>
      <c r="E3" s="18" t="s">
        <v>62</v>
      </c>
      <c r="F3" s="18"/>
      <c r="G3" s="124" t="s">
        <v>63</v>
      </c>
      <c r="H3" s="124"/>
      <c r="I3" s="124"/>
      <c r="J3" s="18" t="s">
        <v>71</v>
      </c>
      <c r="K3" s="18" t="s">
        <v>62</v>
      </c>
      <c r="L3" s="18" t="s">
        <v>59</v>
      </c>
    </row>
    <row r="4" spans="1:14" ht="16.2" x14ac:dyDescent="0.25">
      <c r="A4" s="22" t="s">
        <v>60</v>
      </c>
      <c r="B4" s="24" t="s">
        <v>61</v>
      </c>
      <c r="C4" s="25"/>
      <c r="D4" s="25"/>
      <c r="E4" s="25"/>
      <c r="F4" s="25"/>
      <c r="G4" s="24" t="s">
        <v>28</v>
      </c>
      <c r="H4" s="24" t="s">
        <v>72</v>
      </c>
      <c r="I4" s="24" t="s">
        <v>73</v>
      </c>
      <c r="J4" s="25"/>
      <c r="K4" s="25"/>
      <c r="L4" s="18" t="s">
        <v>65</v>
      </c>
    </row>
    <row r="5" spans="1:14" ht="14.4" x14ac:dyDescent="0.3">
      <c r="A5" s="16"/>
      <c r="B5" s="169" t="s">
        <v>74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4" ht="16.2" x14ac:dyDescent="0.25">
      <c r="A6" s="16" t="s">
        <v>35</v>
      </c>
      <c r="B6" s="46">
        <v>2131.2330000000002</v>
      </c>
      <c r="C6" s="46">
        <f>C23</f>
        <v>26155.173000000003</v>
      </c>
      <c r="D6" s="46">
        <f>D23</f>
        <v>302.9653281816</v>
      </c>
      <c r="E6" s="46">
        <f>E23</f>
        <v>28589.371328181602</v>
      </c>
      <c r="F6" s="46"/>
      <c r="G6" s="46">
        <f>K6-J6</f>
        <v>24827.303827434</v>
      </c>
      <c r="H6" s="46">
        <v>10348.19</v>
      </c>
      <c r="I6" s="33">
        <f>G6-H6</f>
        <v>14479.113827433999</v>
      </c>
      <c r="J6" s="46">
        <f>J23</f>
        <v>1770.9195007476001</v>
      </c>
      <c r="K6" s="46">
        <f>E6-L6</f>
        <v>26598.223328181601</v>
      </c>
      <c r="L6" s="46">
        <f>L22</f>
        <v>1991.1480000000001</v>
      </c>
    </row>
    <row r="7" spans="1:14" ht="16.2" x14ac:dyDescent="0.25">
      <c r="A7" s="16" t="s">
        <v>36</v>
      </c>
      <c r="B7" s="46">
        <f>L6</f>
        <v>1991.1480000000001</v>
      </c>
      <c r="C7" s="46">
        <v>26195</v>
      </c>
      <c r="D7" s="46">
        <v>375</v>
      </c>
      <c r="E7" s="46">
        <f>SUM(B7:D7)</f>
        <v>28561.148000000001</v>
      </c>
      <c r="F7" s="46"/>
      <c r="G7" s="46">
        <f>SUM(H7:I7)</f>
        <v>26225</v>
      </c>
      <c r="H7" s="46">
        <v>11600</v>
      </c>
      <c r="I7" s="33">
        <v>14625</v>
      </c>
      <c r="J7" s="46">
        <v>400</v>
      </c>
      <c r="K7" s="46">
        <f>G7+J7</f>
        <v>26625</v>
      </c>
      <c r="L7" s="46">
        <f>E7-K7</f>
        <v>1936.148000000001</v>
      </c>
    </row>
    <row r="8" spans="1:14" ht="16.2" x14ac:dyDescent="0.25">
      <c r="A8" s="16" t="s">
        <v>154</v>
      </c>
      <c r="B8" s="46">
        <f>L7</f>
        <v>1936.148000000001</v>
      </c>
      <c r="C8" s="46">
        <v>27025</v>
      </c>
      <c r="D8" s="46">
        <v>375</v>
      </c>
      <c r="E8" s="46">
        <f>SUM(B8:D8)</f>
        <v>29336.148000000001</v>
      </c>
      <c r="F8" s="46"/>
      <c r="G8" s="46">
        <f>SUM(H8:I8)</f>
        <v>27050</v>
      </c>
      <c r="H8" s="46">
        <v>12500</v>
      </c>
      <c r="I8" s="33">
        <v>14550</v>
      </c>
      <c r="J8" s="46">
        <v>450</v>
      </c>
      <c r="K8" s="46">
        <f>G8+J8</f>
        <v>27500</v>
      </c>
      <c r="L8" s="46">
        <f>E8-K8</f>
        <v>1836.148000000001</v>
      </c>
    </row>
    <row r="9" spans="1:14" ht="13.8" x14ac:dyDescent="0.25">
      <c r="A9" s="16"/>
      <c r="B9" s="46"/>
      <c r="C9" s="46"/>
      <c r="D9" s="46"/>
      <c r="E9" s="46"/>
      <c r="F9" s="46"/>
      <c r="G9" s="46"/>
      <c r="H9" s="46"/>
      <c r="I9" s="100"/>
      <c r="J9" s="46"/>
      <c r="K9" s="46"/>
      <c r="L9" s="46"/>
    </row>
    <row r="10" spans="1:14" ht="13.8" x14ac:dyDescent="0.25">
      <c r="A10" s="36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 x14ac:dyDescent="0.25">
      <c r="A11" s="16" t="s">
        <v>39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2071.2935508996002</v>
      </c>
      <c r="H11" s="6">
        <v>832.42700000000002</v>
      </c>
      <c r="I11" s="6">
        <f t="shared" ref="I11:I22" si="2">G11-H11</f>
        <v>1238.8665508996</v>
      </c>
      <c r="J11" s="6">
        <f>(25859.9*2204.622)/1000000</f>
        <v>57.011304457800001</v>
      </c>
      <c r="K11" s="6">
        <f t="shared" ref="K11:K22" si="3">E11-L11</f>
        <v>2128.3048553574004</v>
      </c>
      <c r="L11" s="5">
        <v>2386.337</v>
      </c>
      <c r="N11" s="111"/>
    </row>
    <row r="12" spans="1:14" ht="13.8" x14ac:dyDescent="0.25">
      <c r="A12" s="16" t="s">
        <v>40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11"/>
    </row>
    <row r="13" spans="1:14" ht="13.8" x14ac:dyDescent="0.25">
      <c r="A13" s="16" t="s">
        <v>42</v>
      </c>
      <c r="B13" s="5">
        <f t="shared" si="4"/>
        <v>2405.9630000000002</v>
      </c>
      <c r="C13" s="6">
        <v>2324.183</v>
      </c>
      <c r="D13" s="6">
        <f>(14315.6*2204.622)/1000000</f>
        <v>31.560486703199999</v>
      </c>
      <c r="E13" s="6">
        <f t="shared" si="0"/>
        <v>4761.7064867032004</v>
      </c>
      <c r="F13" s="57"/>
      <c r="G13" s="5">
        <f t="shared" si="1"/>
        <v>2130.6668117588006</v>
      </c>
      <c r="H13" s="6">
        <v>938.34100000000001</v>
      </c>
      <c r="I13" s="6">
        <f t="shared" si="2"/>
        <v>1192.3258117588007</v>
      </c>
      <c r="J13" s="6">
        <f>(74910.2*2204.622)/1000000</f>
        <v>165.14867494439997</v>
      </c>
      <c r="K13" s="6">
        <f t="shared" si="3"/>
        <v>2295.8154867032003</v>
      </c>
      <c r="L13" s="5">
        <v>2465.8910000000001</v>
      </c>
      <c r="N13" s="111"/>
    </row>
    <row r="14" spans="1:14" ht="13.8" x14ac:dyDescent="0.25">
      <c r="A14" s="16" t="s">
        <v>43</v>
      </c>
      <c r="B14" s="5">
        <f t="shared" si="4"/>
        <v>2465.8910000000001</v>
      </c>
      <c r="C14" s="6">
        <v>2277.355</v>
      </c>
      <c r="D14" s="6">
        <f>(7350.9*2204.622)/1000000</f>
        <v>16.2059558598</v>
      </c>
      <c r="E14" s="6">
        <f t="shared" si="0"/>
        <v>4759.4519558598004</v>
      </c>
      <c r="F14" s="57"/>
      <c r="G14" s="5">
        <f t="shared" si="1"/>
        <v>1975.3277087556003</v>
      </c>
      <c r="H14" s="6">
        <v>791.38699999999994</v>
      </c>
      <c r="I14" s="6">
        <f t="shared" si="2"/>
        <v>1183.9407087556003</v>
      </c>
      <c r="J14" s="6">
        <f>(128911.1*2204.622)/1000000</f>
        <v>284.2002471042</v>
      </c>
      <c r="K14" s="6">
        <f t="shared" si="3"/>
        <v>2259.5279558598004</v>
      </c>
      <c r="L14" s="5">
        <v>2499.924</v>
      </c>
      <c r="N14" s="111"/>
    </row>
    <row r="15" spans="1:14" ht="13.8" x14ac:dyDescent="0.25">
      <c r="A15" s="16" t="s">
        <v>44</v>
      </c>
      <c r="B15" s="5">
        <f t="shared" si="4"/>
        <v>2499.924</v>
      </c>
      <c r="C15" s="6">
        <v>2064.1990000000001</v>
      </c>
      <c r="D15" s="6">
        <f>(9698.9*2204.622)/1000000</f>
        <v>21.382408315799996</v>
      </c>
      <c r="E15" s="6">
        <f t="shared" si="0"/>
        <v>4585.5054083157993</v>
      </c>
      <c r="F15" s="57"/>
      <c r="G15" s="5">
        <f t="shared" si="1"/>
        <v>1784.6374709481993</v>
      </c>
      <c r="H15" s="6">
        <v>740.60299999999995</v>
      </c>
      <c r="I15" s="6">
        <f t="shared" si="2"/>
        <v>1044.0344709481992</v>
      </c>
      <c r="J15" s="6">
        <f>(106485.8*2204.622)/1000000</f>
        <v>234.76093736760001</v>
      </c>
      <c r="K15" s="6">
        <f t="shared" si="3"/>
        <v>2019.3984083157993</v>
      </c>
      <c r="L15" s="5">
        <v>2566.107</v>
      </c>
      <c r="N15" s="111"/>
    </row>
    <row r="16" spans="1:14" ht="13.8" x14ac:dyDescent="0.25">
      <c r="A16" s="16" t="s">
        <v>46</v>
      </c>
      <c r="B16" s="5">
        <f t="shared" si="4"/>
        <v>2566.107</v>
      </c>
      <c r="C16" s="6">
        <v>2277.5410000000002</v>
      </c>
      <c r="D16" s="6">
        <f>(10065.2*2204.622)/1000000</f>
        <v>22.189961354400001</v>
      </c>
      <c r="E16" s="6">
        <f t="shared" ref="E16:E22" si="5">SUM(B16:D16)</f>
        <v>4865.8379613544002</v>
      </c>
      <c r="F16" s="57"/>
      <c r="G16" s="5">
        <f t="shared" si="1"/>
        <v>2155.9277832030002</v>
      </c>
      <c r="H16" s="6">
        <v>908.29</v>
      </c>
      <c r="I16" s="6">
        <f t="shared" si="2"/>
        <v>1247.6377832030003</v>
      </c>
      <c r="J16" s="6">
        <f>(125278.7*2204.622)/1000000</f>
        <v>276.19217815139996</v>
      </c>
      <c r="K16" s="6">
        <f t="shared" si="3"/>
        <v>2432.1199613543999</v>
      </c>
      <c r="L16" s="5">
        <v>2433.7180000000003</v>
      </c>
      <c r="N16" s="111"/>
    </row>
    <row r="17" spans="1:14" ht="13.8" x14ac:dyDescent="0.25">
      <c r="A17" s="16" t="s">
        <v>47</v>
      </c>
      <c r="B17" s="5">
        <f t="shared" si="4"/>
        <v>2433.7180000000003</v>
      </c>
      <c r="C17" s="6">
        <v>2143.1179999999999</v>
      </c>
      <c r="D17" s="6">
        <f>(10661.9*2204.622)/1000000</f>
        <v>23.505459301799998</v>
      </c>
      <c r="E17" s="6">
        <f t="shared" si="5"/>
        <v>4600.3414593018006</v>
      </c>
      <c r="F17" s="57"/>
      <c r="G17" s="5">
        <f t="shared" si="1"/>
        <v>2018.5597328586007</v>
      </c>
      <c r="H17" s="6">
        <v>838.9</v>
      </c>
      <c r="I17" s="6">
        <f t="shared" si="2"/>
        <v>1179.6597328586008</v>
      </c>
      <c r="J17" s="6">
        <f>(71485.6*2204.622)/1000000</f>
        <v>157.59872644319998</v>
      </c>
      <c r="K17" s="6">
        <f t="shared" si="3"/>
        <v>2176.1584593018006</v>
      </c>
      <c r="L17" s="5">
        <v>2424.183</v>
      </c>
      <c r="N17" s="111"/>
    </row>
    <row r="18" spans="1:14" ht="13.8" x14ac:dyDescent="0.25">
      <c r="A18" s="16" t="s">
        <v>48</v>
      </c>
      <c r="B18" s="5">
        <f t="shared" si="4"/>
        <v>2424.183</v>
      </c>
      <c r="C18" s="6">
        <v>2158.7739999999999</v>
      </c>
      <c r="D18" s="112">
        <f>(11291.8*2204.622)/1000000</f>
        <v>24.894150699599997</v>
      </c>
      <c r="E18" s="6">
        <f t="shared" si="5"/>
        <v>4607.8511506996001</v>
      </c>
      <c r="F18" s="57"/>
      <c r="G18" s="5">
        <f t="shared" si="1"/>
        <v>2149.5948740757999</v>
      </c>
      <c r="H18" s="6">
        <v>855.57100000000003</v>
      </c>
      <c r="I18" s="6">
        <f t="shared" si="2"/>
        <v>1294.0238740758</v>
      </c>
      <c r="J18" s="112">
        <f>(33512.9*2204.622)/1000000</f>
        <v>73.8832766238</v>
      </c>
      <c r="K18" s="6">
        <f t="shared" si="3"/>
        <v>2223.4781506996001</v>
      </c>
      <c r="L18" s="5">
        <v>2384.373</v>
      </c>
      <c r="N18" s="111"/>
    </row>
    <row r="19" spans="1:14" ht="13.8" x14ac:dyDescent="0.25">
      <c r="A19" s="16" t="s">
        <v>50</v>
      </c>
      <c r="B19" s="5">
        <f t="shared" si="4"/>
        <v>2384.373</v>
      </c>
      <c r="C19" s="6">
        <v>2068.578</v>
      </c>
      <c r="D19" s="112">
        <f>(10963.6*2204.622)/1000000</f>
        <v>24.170593759199999</v>
      </c>
      <c r="E19" s="6">
        <f t="shared" si="5"/>
        <v>4477.1215937591996</v>
      </c>
      <c r="F19" s="57"/>
      <c r="G19" s="5">
        <f t="shared" si="1"/>
        <v>2088.6787772001999</v>
      </c>
      <c r="H19" s="6">
        <v>809.79899999999998</v>
      </c>
      <c r="I19" s="6">
        <f t="shared" si="2"/>
        <v>1278.8797772001999</v>
      </c>
      <c r="J19" s="112">
        <f>(33084.5*2204.622)/1000000</f>
        <v>72.938816559000003</v>
      </c>
      <c r="K19" s="6">
        <f t="shared" si="3"/>
        <v>2161.6175937591997</v>
      </c>
      <c r="L19" s="5">
        <v>2315.5039999999999</v>
      </c>
    </row>
    <row r="20" spans="1:14" ht="13.8" x14ac:dyDescent="0.25">
      <c r="A20" s="16" t="s">
        <v>51</v>
      </c>
      <c r="B20" s="5">
        <f t="shared" si="4"/>
        <v>2315.5039999999999</v>
      </c>
      <c r="C20" s="6">
        <v>2169.9299999999998</v>
      </c>
      <c r="D20" s="112">
        <f>(11379.9*2204.622)/1000000</f>
        <v>25.088377897799997</v>
      </c>
      <c r="E20" s="6">
        <f t="shared" si="5"/>
        <v>4510.5223778977988</v>
      </c>
      <c r="F20" s="57"/>
      <c r="G20" s="5">
        <f t="shared" si="1"/>
        <v>2125.602306053599</v>
      </c>
      <c r="H20" s="6">
        <v>956.48800000000006</v>
      </c>
      <c r="I20" s="6">
        <f t="shared" si="2"/>
        <v>1169.114306053599</v>
      </c>
      <c r="J20" s="112">
        <f>(53581.1*2204.622)/1000000</f>
        <v>118.12607184419998</v>
      </c>
      <c r="K20" s="6">
        <f t="shared" si="3"/>
        <v>2243.728377897799</v>
      </c>
      <c r="L20" s="5">
        <v>2266.7939999999999</v>
      </c>
    </row>
    <row r="21" spans="1:14" ht="13.8" x14ac:dyDescent="0.25">
      <c r="A21" s="16" t="s">
        <v>52</v>
      </c>
      <c r="B21" s="5">
        <f t="shared" si="4"/>
        <v>2266.7939999999999</v>
      </c>
      <c r="C21" s="6">
        <v>2095.5810000000001</v>
      </c>
      <c r="D21" s="112">
        <f>(9635.1*2204.622)/1000000</f>
        <v>21.241753432199999</v>
      </c>
      <c r="E21" s="6">
        <f t="shared" si="5"/>
        <v>4383.6167534322003</v>
      </c>
      <c r="F21" s="57"/>
      <c r="G21" s="5">
        <f t="shared" si="1"/>
        <v>2223.0527249938004</v>
      </c>
      <c r="H21" s="6">
        <v>924.71799999999996</v>
      </c>
      <c r="I21" s="6">
        <f t="shared" si="2"/>
        <v>1298.3347249938006</v>
      </c>
      <c r="J21" s="112">
        <f>(25787.2*2204.622)/1000000</f>
        <v>56.8510284384</v>
      </c>
      <c r="K21" s="6">
        <f t="shared" si="3"/>
        <v>2279.9037534322006</v>
      </c>
      <c r="L21" s="5">
        <v>2103.7129999999997</v>
      </c>
    </row>
    <row r="22" spans="1:14" ht="13.8" x14ac:dyDescent="0.25">
      <c r="A22" s="16" t="s">
        <v>38</v>
      </c>
      <c r="B22" s="5">
        <f t="shared" si="4"/>
        <v>2103.7129999999997</v>
      </c>
      <c r="C22" s="6">
        <v>1992.9639999999999</v>
      </c>
      <c r="D22" s="112">
        <f>(10328.5*2204.622)/1000000</f>
        <v>22.770438327000001</v>
      </c>
      <c r="E22" s="6">
        <f t="shared" si="5"/>
        <v>4119.4474383269999</v>
      </c>
      <c r="F22" s="57"/>
      <c r="G22" s="5">
        <f t="shared" si="1"/>
        <v>2083.3701238157996</v>
      </c>
      <c r="H22" s="6">
        <v>933.65499999999997</v>
      </c>
      <c r="I22" s="6">
        <f t="shared" si="2"/>
        <v>1149.7151238157996</v>
      </c>
      <c r="J22" s="112">
        <f>(20379.6*2204.622)/1000000</f>
        <v>44.929314511199998</v>
      </c>
      <c r="K22" s="6">
        <f t="shared" si="3"/>
        <v>2128.2994383269997</v>
      </c>
      <c r="L22" s="5">
        <v>1991.1480000000001</v>
      </c>
    </row>
    <row r="23" spans="1:14" ht="13.8" x14ac:dyDescent="0.25">
      <c r="A23" s="16" t="s">
        <v>28</v>
      </c>
      <c r="B23" s="5"/>
      <c r="C23" s="6">
        <f>SUM(C11:C22)</f>
        <v>26155.173000000003</v>
      </c>
      <c r="D23" s="6">
        <f>(137422.8*2204.622)/1000000</f>
        <v>302.9653281816</v>
      </c>
      <c r="E23" s="6">
        <f>B11+C23+D23</f>
        <v>28589.371328181602</v>
      </c>
      <c r="F23" s="5"/>
      <c r="G23" s="5">
        <f>SUM(G11:G22)</f>
        <v>24827.303827433996</v>
      </c>
      <c r="H23" s="6">
        <f>SUM(H11:H22)</f>
        <v>10348.1917128</v>
      </c>
      <c r="I23" s="6">
        <f>SUM(I11:I22)</f>
        <v>14479.112114634001</v>
      </c>
      <c r="J23" s="6">
        <f>(803275.8*2204.622)/1000000</f>
        <v>1770.9195007476001</v>
      </c>
      <c r="K23" s="5">
        <f>SUM(K11:K22)</f>
        <v>26598.223328181601</v>
      </c>
      <c r="L23" s="5"/>
    </row>
    <row r="24" spans="1:14" ht="13.8" x14ac:dyDescent="0.25">
      <c r="A24" s="16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 x14ac:dyDescent="0.25">
      <c r="A25" s="36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 x14ac:dyDescent="0.25">
      <c r="A26" s="16" t="s">
        <v>39</v>
      </c>
      <c r="B26" s="5">
        <f>L22</f>
        <v>1991.1480000000001</v>
      </c>
      <c r="C26" s="6">
        <v>2338.085</v>
      </c>
      <c r="D26" s="6">
        <f>(13491.4*2204.622)/1000000</f>
        <v>29.7434372508</v>
      </c>
      <c r="E26" s="6">
        <f t="shared" ref="E26:E33" si="6">SUM(B26:D26)</f>
        <v>4358.9764372507998</v>
      </c>
      <c r="F26" s="5"/>
      <c r="G26" s="5">
        <f t="shared" ref="G26:G33" si="7">K26-J26</f>
        <v>2241.8177746275996</v>
      </c>
      <c r="H26" s="6">
        <v>906.40899999999999</v>
      </c>
      <c r="I26" s="6">
        <f t="shared" ref="I26:I32" si="8">G26-H26</f>
        <v>1335.4087746275995</v>
      </c>
      <c r="J26" s="6">
        <f>(10675.6*2204.622)/1000000</f>
        <v>23.5356626232</v>
      </c>
      <c r="K26" s="6">
        <f t="shared" ref="K26:K33" si="9">E26-L26</f>
        <v>2265.3534372507997</v>
      </c>
      <c r="L26" s="5">
        <v>2093.623</v>
      </c>
    </row>
    <row r="27" spans="1:14" ht="13.8" x14ac:dyDescent="0.25">
      <c r="A27" s="16" t="s">
        <v>40</v>
      </c>
      <c r="B27" s="5">
        <f t="shared" ref="B27:B33" si="10"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2183.7493667224003</v>
      </c>
      <c r="H27" s="6">
        <v>943.34192259999998</v>
      </c>
      <c r="I27" s="6">
        <f t="shared" si="8"/>
        <v>1240.4074441224002</v>
      </c>
      <c r="J27" s="6">
        <f>(10635.4*2204.622)/1000000</f>
        <v>23.447036818799997</v>
      </c>
      <c r="K27" s="6">
        <f t="shared" si="9"/>
        <v>2207.1964035412002</v>
      </c>
      <c r="L27" s="5">
        <v>2112.2809999999999</v>
      </c>
    </row>
    <row r="28" spans="1:14" ht="13.8" x14ac:dyDescent="0.25">
      <c r="A28" s="16" t="s">
        <v>42</v>
      </c>
      <c r="B28" s="5">
        <f t="shared" si="10"/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1989.2481907986005</v>
      </c>
      <c r="H28" s="6">
        <v>885.4429075999999</v>
      </c>
      <c r="I28" s="6">
        <f t="shared" si="8"/>
        <v>1103.8052831986006</v>
      </c>
      <c r="J28" s="6">
        <f>(15806.1*2204.622)/1000000</f>
        <v>34.846475794199996</v>
      </c>
      <c r="K28" s="6">
        <f t="shared" si="9"/>
        <v>2024.0946665928004</v>
      </c>
      <c r="L28" s="5">
        <v>2306.1469999999999</v>
      </c>
    </row>
    <row r="29" spans="1:14" ht="13.8" x14ac:dyDescent="0.25">
      <c r="A29" s="16" t="s">
        <v>43</v>
      </c>
      <c r="B29" s="5">
        <f t="shared" si="10"/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6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 x14ac:dyDescent="0.25">
      <c r="A30" s="16" t="s">
        <v>44</v>
      </c>
      <c r="B30" s="5">
        <f t="shared" si="10"/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6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 x14ac:dyDescent="0.25">
      <c r="A31" s="16" t="s">
        <v>46</v>
      </c>
      <c r="B31" s="5">
        <f t="shared" si="10"/>
        <v>2363.797</v>
      </c>
      <c r="C31" s="6">
        <v>2339.5810000000001</v>
      </c>
      <c r="D31" s="6">
        <f>(15180.8*2204.622)/1000000</f>
        <v>33.467925657599999</v>
      </c>
      <c r="E31" s="6">
        <f t="shared" si="6"/>
        <v>4736.8459256576007</v>
      </c>
      <c r="F31" s="5"/>
      <c r="G31" s="5">
        <f t="shared" si="7"/>
        <v>2336.5298038548008</v>
      </c>
      <c r="H31" s="6">
        <v>952.70299999999997</v>
      </c>
      <c r="I31" s="6">
        <f t="shared" si="8"/>
        <v>1383.8268038548008</v>
      </c>
      <c r="J31" s="6">
        <f>(5807.4*2204.622)/1000000</f>
        <v>12.803121802799998</v>
      </c>
      <c r="K31" s="6">
        <f t="shared" si="9"/>
        <v>2349.3329256576008</v>
      </c>
      <c r="L31" s="5">
        <v>2387.5129999999999</v>
      </c>
    </row>
    <row r="32" spans="1:14" ht="13.8" x14ac:dyDescent="0.25">
      <c r="A32" s="16" t="s">
        <v>47</v>
      </c>
      <c r="B32" s="5">
        <f t="shared" si="10"/>
        <v>2387.5129999999999</v>
      </c>
      <c r="C32" s="6">
        <v>2236.3009999999999</v>
      </c>
      <c r="D32" s="6">
        <f>(15750.7*2204.622)/1000000</f>
        <v>34.724339735400001</v>
      </c>
      <c r="E32" s="6">
        <f t="shared" si="6"/>
        <v>4658.5383397353999</v>
      </c>
      <c r="F32" s="5"/>
      <c r="G32" s="5">
        <f t="shared" si="7"/>
        <v>2058.2364235171999</v>
      </c>
      <c r="H32" s="6">
        <v>926.59799999999996</v>
      </c>
      <c r="I32" s="6">
        <f t="shared" si="8"/>
        <v>1131.6384235172</v>
      </c>
      <c r="J32" s="6">
        <f>(27498.1*2204.622)/1000000</f>
        <v>60.62291621819999</v>
      </c>
      <c r="K32" s="6">
        <f t="shared" si="9"/>
        <v>2118.8593397353998</v>
      </c>
      <c r="L32" s="5">
        <v>2539.6790000000001</v>
      </c>
    </row>
    <row r="33" spans="1:12" ht="13.8" x14ac:dyDescent="0.25">
      <c r="A33" s="15" t="s">
        <v>48</v>
      </c>
      <c r="B33" s="53">
        <f t="shared" si="10"/>
        <v>2539.6790000000001</v>
      </c>
      <c r="C33" s="41">
        <v>2228.3719999999998</v>
      </c>
      <c r="D33" s="41">
        <f>(24574.7*2204.622)/1000000</f>
        <v>54.177924263399994</v>
      </c>
      <c r="E33" s="41">
        <f t="shared" si="6"/>
        <v>4822.2289242633997</v>
      </c>
      <c r="F33" s="53"/>
      <c r="G33" s="53">
        <f t="shared" si="7"/>
        <v>2385.7924694315993</v>
      </c>
      <c r="H33" s="41" t="s">
        <v>75</v>
      </c>
      <c r="I33" s="41" t="s">
        <v>75</v>
      </c>
      <c r="J33" s="41">
        <f>(22776.9*2204.622)/1000000</f>
        <v>50.214454831799998</v>
      </c>
      <c r="K33" s="41">
        <f t="shared" si="9"/>
        <v>2436.0069242633995</v>
      </c>
      <c r="L33" s="53">
        <v>2386.2220000000002</v>
      </c>
    </row>
    <row r="34" spans="1:12" ht="16.2" x14ac:dyDescent="0.25">
      <c r="A34" s="49" t="s">
        <v>76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4.4" x14ac:dyDescent="0.3">
      <c r="A35" s="16" t="s">
        <v>68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13.8" x14ac:dyDescent="0.25">
      <c r="A36" s="21" t="s">
        <v>56</v>
      </c>
      <c r="B36" s="43">
        <f>Contents!A16</f>
        <v>45121</v>
      </c>
      <c r="K36" s="40"/>
    </row>
    <row r="37" spans="1:12" x14ac:dyDescent="0.25">
      <c r="E37" s="40"/>
    </row>
  </sheetData>
  <mergeCells count="3">
    <mergeCell ref="B5:L5"/>
    <mergeCell ref="G2:I2"/>
    <mergeCell ref="B2:E2"/>
  </mergeCells>
  <phoneticPr fontId="30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topLeftCell="A19" zoomScale="70" zoomScaleNormal="70" workbookViewId="0">
      <selection activeCell="O44" sqref="O44"/>
    </sheetView>
  </sheetViews>
  <sheetFormatPr defaultColWidth="9.109375" defaultRowHeight="13.2" x14ac:dyDescent="0.25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7.5546875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</row>
    <row r="2" spans="1:15" ht="13.8" x14ac:dyDescent="0.25">
      <c r="A2" s="16"/>
      <c r="B2" s="167" t="s">
        <v>57</v>
      </c>
      <c r="C2" s="167"/>
      <c r="D2" s="167"/>
      <c r="E2" s="167"/>
      <c r="F2" s="82"/>
      <c r="G2" s="167" t="s">
        <v>58</v>
      </c>
      <c r="H2" s="167"/>
      <c r="I2" s="167"/>
      <c r="J2" s="167"/>
      <c r="K2" s="82"/>
      <c r="L2" s="16"/>
      <c r="M2" s="16"/>
      <c r="N2" s="16"/>
      <c r="O2" s="16"/>
    </row>
    <row r="3" spans="1:15" ht="13.8" x14ac:dyDescent="0.25">
      <c r="A3" s="16" t="s">
        <v>17</v>
      </c>
      <c r="B3" s="21" t="s">
        <v>69</v>
      </c>
      <c r="C3" s="21"/>
      <c r="D3" s="21"/>
      <c r="E3" s="21"/>
      <c r="F3" s="21"/>
      <c r="G3" s="21"/>
      <c r="H3" s="21"/>
      <c r="I3" s="21"/>
      <c r="J3" s="21"/>
      <c r="K3" s="18" t="s">
        <v>59</v>
      </c>
      <c r="L3" s="16"/>
      <c r="M3" s="16"/>
      <c r="N3" s="16"/>
      <c r="O3" s="16"/>
    </row>
    <row r="4" spans="1:15" ht="13.8" x14ac:dyDescent="0.25">
      <c r="A4" s="22" t="s">
        <v>77</v>
      </c>
      <c r="B4" s="24" t="s">
        <v>78</v>
      </c>
      <c r="C4" s="66" t="s">
        <v>26</v>
      </c>
      <c r="D4" s="26" t="s">
        <v>70</v>
      </c>
      <c r="E4" s="24" t="s">
        <v>79</v>
      </c>
      <c r="F4" s="25"/>
      <c r="G4" s="24" t="s">
        <v>80</v>
      </c>
      <c r="H4" s="24" t="s">
        <v>30</v>
      </c>
      <c r="I4" s="24" t="s">
        <v>81</v>
      </c>
      <c r="J4" s="24" t="s">
        <v>82</v>
      </c>
      <c r="K4" s="24" t="s">
        <v>61</v>
      </c>
      <c r="L4" s="16"/>
      <c r="M4" s="16"/>
      <c r="N4" s="16"/>
      <c r="O4" s="16"/>
    </row>
    <row r="5" spans="1:15" ht="14.4" x14ac:dyDescent="0.3">
      <c r="A5" s="16"/>
      <c r="B5" s="172" t="s">
        <v>83</v>
      </c>
      <c r="C5" s="172"/>
      <c r="D5" s="172"/>
      <c r="E5" s="172"/>
      <c r="F5" s="172"/>
      <c r="G5" s="172"/>
      <c r="H5" s="172"/>
      <c r="I5" s="172"/>
      <c r="J5" s="172"/>
      <c r="K5" s="172"/>
      <c r="L5" s="16"/>
      <c r="M5" s="16"/>
      <c r="N5" s="16"/>
      <c r="O5" s="16"/>
    </row>
    <row r="6" spans="1:15" ht="13.8" x14ac:dyDescent="0.25">
      <c r="A6" s="16" t="s">
        <v>37</v>
      </c>
      <c r="B6" s="84">
        <v>395.43068871102241</v>
      </c>
      <c r="C6" s="84">
        <v>5323</v>
      </c>
      <c r="D6" s="85">
        <v>24.765738432900992</v>
      </c>
      <c r="E6" s="84">
        <f>B6+C6+D6</f>
        <v>5743.1964271439238</v>
      </c>
      <c r="F6" s="86"/>
      <c r="G6" s="84">
        <v>1556.9839999999999</v>
      </c>
      <c r="H6" s="87">
        <v>292.99103926406997</v>
      </c>
      <c r="I6" s="84">
        <f>J6-G6-H6</f>
        <v>3497.8</v>
      </c>
      <c r="J6" s="84">
        <f>E6-K6</f>
        <v>5347.7750392640701</v>
      </c>
      <c r="K6" s="84">
        <v>395.42138787985368</v>
      </c>
      <c r="L6" s="16"/>
      <c r="M6" s="16"/>
      <c r="N6" s="158"/>
      <c r="O6" s="16"/>
    </row>
    <row r="7" spans="1:15" ht="16.2" x14ac:dyDescent="0.25">
      <c r="A7" s="16" t="s">
        <v>155</v>
      </c>
      <c r="B7" s="84">
        <f>K6</f>
        <v>395.42138787985368</v>
      </c>
      <c r="C7" s="84">
        <v>4415</v>
      </c>
      <c r="D7" s="85">
        <v>80</v>
      </c>
      <c r="E7" s="84">
        <f>B7+C7+D7</f>
        <v>4890.4213878798537</v>
      </c>
      <c r="F7" s="86"/>
      <c r="G7" s="84">
        <v>1425</v>
      </c>
      <c r="H7" s="87">
        <v>185</v>
      </c>
      <c r="I7" s="84">
        <v>2892.4213878798537</v>
      </c>
      <c r="J7" s="84">
        <f>SUM(G7:I7)</f>
        <v>4502.4213878798537</v>
      </c>
      <c r="K7" s="84">
        <f>E7-J7</f>
        <v>388</v>
      </c>
      <c r="L7" s="16"/>
      <c r="M7" s="16"/>
      <c r="N7" s="16"/>
      <c r="O7" s="16"/>
    </row>
    <row r="8" spans="1:15" ht="16.2" x14ac:dyDescent="0.25">
      <c r="A8" s="15" t="s">
        <v>154</v>
      </c>
      <c r="B8" s="88">
        <f>K7</f>
        <v>388</v>
      </c>
      <c r="C8" s="88">
        <v>5290</v>
      </c>
      <c r="D8" s="89">
        <v>25</v>
      </c>
      <c r="E8" s="88">
        <f>B8+C8+D8</f>
        <v>5703</v>
      </c>
      <c r="F8" s="90"/>
      <c r="G8" s="88">
        <v>1550</v>
      </c>
      <c r="H8" s="91">
        <v>300</v>
      </c>
      <c r="I8" s="88">
        <v>3418</v>
      </c>
      <c r="J8" s="88">
        <f>SUM(G8:I8)</f>
        <v>5268</v>
      </c>
      <c r="K8" s="88">
        <f>E8-J8</f>
        <v>435</v>
      </c>
      <c r="L8" s="16"/>
      <c r="M8" s="16"/>
      <c r="N8" s="16"/>
      <c r="O8" s="16"/>
    </row>
    <row r="9" spans="1:15" ht="16.2" x14ac:dyDescent="0.25">
      <c r="A9" s="49" t="s">
        <v>84</v>
      </c>
      <c r="B9" s="16"/>
      <c r="C9" s="83"/>
      <c r="D9" s="83"/>
      <c r="E9" s="83"/>
      <c r="F9" s="83"/>
      <c r="G9" s="92"/>
      <c r="H9" s="83"/>
      <c r="I9" s="83"/>
      <c r="J9" s="83"/>
      <c r="K9" s="16"/>
      <c r="L9" s="16"/>
      <c r="M9" s="16"/>
      <c r="N9" s="16"/>
      <c r="O9" s="16"/>
    </row>
    <row r="10" spans="1:15" ht="14.4" x14ac:dyDescent="0.3">
      <c r="A10" s="16" t="s">
        <v>150</v>
      </c>
      <c r="B10" s="34"/>
      <c r="C10" s="39"/>
      <c r="D10" s="16"/>
      <c r="E10" s="34"/>
      <c r="F10" s="34"/>
      <c r="G10" s="34"/>
      <c r="H10" s="34"/>
      <c r="I10" s="34"/>
      <c r="J10" s="34"/>
      <c r="K10" s="16"/>
      <c r="L10" s="16"/>
      <c r="M10" s="16"/>
      <c r="N10" s="16"/>
      <c r="O10" s="16"/>
    </row>
    <row r="11" spans="1:15" ht="14.4" x14ac:dyDescent="0.3">
      <c r="A11" s="16" t="s">
        <v>85</v>
      </c>
      <c r="B11" s="34"/>
      <c r="C11" s="39"/>
      <c r="D11" s="16"/>
      <c r="E11" s="34"/>
      <c r="F11" s="34"/>
      <c r="G11" s="34"/>
      <c r="H11" s="34"/>
      <c r="I11" s="34"/>
      <c r="J11" s="34"/>
      <c r="K11" s="16"/>
      <c r="L11" s="16"/>
      <c r="M11" s="16"/>
      <c r="N11" s="16"/>
      <c r="O11" s="16"/>
    </row>
    <row r="12" spans="1:15" ht="13.8" x14ac:dyDescent="0.25">
      <c r="A12" s="16"/>
      <c r="B12" s="34"/>
      <c r="C12" s="39"/>
      <c r="D12" s="16"/>
      <c r="E12" s="34"/>
      <c r="F12" s="34"/>
      <c r="G12" s="34"/>
      <c r="H12" s="34"/>
      <c r="I12" s="34"/>
      <c r="J12" s="34"/>
      <c r="K12" s="16"/>
      <c r="L12" s="16"/>
      <c r="M12" s="16"/>
      <c r="N12" s="16"/>
      <c r="O12" s="16"/>
    </row>
    <row r="13" spans="1:15" ht="13.8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3.8" x14ac:dyDescent="0.25">
      <c r="A14" s="15" t="s">
        <v>5</v>
      </c>
      <c r="B14" s="15"/>
      <c r="C14" s="15"/>
      <c r="D14" s="15"/>
      <c r="E14" s="15"/>
      <c r="F14" s="15"/>
      <c r="G14" s="15"/>
      <c r="H14" s="15"/>
      <c r="I14" s="16"/>
      <c r="J14" s="15"/>
      <c r="K14" s="16"/>
      <c r="L14" s="16"/>
      <c r="M14" s="16"/>
      <c r="N14" s="16"/>
      <c r="O14" s="16"/>
    </row>
    <row r="15" spans="1:15" ht="13.8" x14ac:dyDescent="0.25">
      <c r="A15" s="16"/>
      <c r="B15" s="167" t="s">
        <v>57</v>
      </c>
      <c r="C15" s="167"/>
      <c r="D15" s="167"/>
      <c r="E15" s="167"/>
      <c r="F15" s="16"/>
      <c r="G15" s="167" t="s">
        <v>58</v>
      </c>
      <c r="H15" s="167"/>
      <c r="I15" s="167"/>
      <c r="J15" s="16"/>
      <c r="K15" s="16"/>
      <c r="L15" s="16"/>
      <c r="M15" s="16"/>
      <c r="N15" s="16"/>
      <c r="O15" s="16"/>
    </row>
    <row r="16" spans="1:15" ht="13.8" x14ac:dyDescent="0.25">
      <c r="A16" s="16" t="s">
        <v>17</v>
      </c>
      <c r="B16" s="18" t="s">
        <v>69</v>
      </c>
      <c r="C16" s="21"/>
      <c r="D16" s="21"/>
      <c r="E16" s="21"/>
      <c r="F16" s="21"/>
      <c r="G16" s="21"/>
      <c r="H16" s="21"/>
      <c r="I16" s="21"/>
      <c r="J16" s="18" t="s">
        <v>59</v>
      </c>
      <c r="K16" s="16"/>
      <c r="L16" s="16"/>
      <c r="M16" s="16"/>
      <c r="N16" s="16"/>
      <c r="O16" s="16"/>
    </row>
    <row r="17" spans="1:15" ht="13.8" x14ac:dyDescent="0.25">
      <c r="A17" s="22" t="s">
        <v>60</v>
      </c>
      <c r="B17" s="24" t="s">
        <v>61</v>
      </c>
      <c r="C17" s="66" t="s">
        <v>26</v>
      </c>
      <c r="D17" s="26" t="s">
        <v>70</v>
      </c>
      <c r="E17" s="24" t="s">
        <v>82</v>
      </c>
      <c r="F17" s="25"/>
      <c r="G17" s="84" t="s">
        <v>86</v>
      </c>
      <c r="H17" s="24" t="s">
        <v>30</v>
      </c>
      <c r="I17" s="26" t="s">
        <v>62</v>
      </c>
      <c r="J17" s="24" t="s">
        <v>61</v>
      </c>
      <c r="K17" s="16"/>
      <c r="L17" s="16"/>
      <c r="M17" s="16"/>
      <c r="N17" s="16"/>
      <c r="O17" s="16"/>
    </row>
    <row r="18" spans="1:15" ht="14.4" x14ac:dyDescent="0.3">
      <c r="A18" s="16"/>
      <c r="B18" s="172" t="s">
        <v>87</v>
      </c>
      <c r="C18" s="172"/>
      <c r="D18" s="172"/>
      <c r="E18" s="172"/>
      <c r="F18" s="172"/>
      <c r="G18" s="172"/>
      <c r="H18" s="172"/>
      <c r="I18" s="172"/>
      <c r="J18" s="172"/>
      <c r="K18" s="16"/>
      <c r="L18" s="16"/>
      <c r="M18" s="16"/>
      <c r="N18" s="16"/>
      <c r="O18" s="16"/>
    </row>
    <row r="19" spans="1:15" ht="13.8" x14ac:dyDescent="0.25">
      <c r="A19" s="16" t="s">
        <v>37</v>
      </c>
      <c r="B19" s="84">
        <v>39.305999999999997</v>
      </c>
      <c r="C19" s="87">
        <v>695</v>
      </c>
      <c r="D19" s="116">
        <v>0.10141264051999997</v>
      </c>
      <c r="E19" s="87">
        <f>B19+C19+D19</f>
        <v>734.40741264052008</v>
      </c>
      <c r="F19" s="86"/>
      <c r="G19" s="87">
        <f>E19-J19-H19</f>
        <v>655.27531148258311</v>
      </c>
      <c r="H19" s="87">
        <v>56.816101157936991</v>
      </c>
      <c r="I19" s="87">
        <f>SUM(G19:H19)</f>
        <v>712.09141264052005</v>
      </c>
      <c r="J19" s="84">
        <v>22.315999999999999</v>
      </c>
      <c r="K19" s="16"/>
      <c r="L19" s="16"/>
      <c r="M19" s="16"/>
      <c r="N19" s="16"/>
      <c r="O19" s="16"/>
    </row>
    <row r="20" spans="1:15" ht="16.2" x14ac:dyDescent="0.25">
      <c r="A20" s="16" t="s">
        <v>155</v>
      </c>
      <c r="B20" s="84">
        <f>J19</f>
        <v>22.315999999999999</v>
      </c>
      <c r="C20" s="87">
        <v>600</v>
      </c>
      <c r="D20" s="85">
        <v>0</v>
      </c>
      <c r="E20" s="87">
        <f>B20+C20+D20</f>
        <v>622.31600000000003</v>
      </c>
      <c r="F20" s="86"/>
      <c r="G20" s="87">
        <v>522.31600000000003</v>
      </c>
      <c r="H20" s="87">
        <v>60</v>
      </c>
      <c r="I20" s="87">
        <f>SUM(G20:H20)</f>
        <v>582.31600000000003</v>
      </c>
      <c r="J20" s="84">
        <f>E20-I20</f>
        <v>40</v>
      </c>
      <c r="K20" s="16"/>
      <c r="L20" s="16"/>
      <c r="M20" s="16"/>
      <c r="N20" s="16"/>
      <c r="O20" s="16"/>
    </row>
    <row r="21" spans="1:15" ht="16.2" x14ac:dyDescent="0.25">
      <c r="A21" s="15" t="s">
        <v>154</v>
      </c>
      <c r="B21" s="88">
        <f>J20</f>
        <v>40</v>
      </c>
      <c r="C21" s="91">
        <v>700</v>
      </c>
      <c r="D21" s="89">
        <v>0</v>
      </c>
      <c r="E21" s="91">
        <f>B21+C21+D21</f>
        <v>740</v>
      </c>
      <c r="F21" s="90"/>
      <c r="G21" s="91">
        <v>620</v>
      </c>
      <c r="H21" s="91">
        <v>80</v>
      </c>
      <c r="I21" s="91">
        <f>SUM(G21:H21)</f>
        <v>700</v>
      </c>
      <c r="J21" s="88">
        <f>E21-I21</f>
        <v>40</v>
      </c>
      <c r="K21" s="16"/>
      <c r="L21" s="16"/>
      <c r="M21" s="16"/>
      <c r="N21" s="16"/>
      <c r="O21" s="16"/>
    </row>
    <row r="22" spans="1:15" ht="16.2" x14ac:dyDescent="0.25">
      <c r="A22" s="49" t="s">
        <v>84</v>
      </c>
      <c r="B22" s="16"/>
      <c r="C22" s="83"/>
      <c r="D22" s="83"/>
      <c r="E22" s="83"/>
      <c r="F22" s="83"/>
      <c r="G22" s="83"/>
      <c r="H22" s="83"/>
      <c r="I22" s="16"/>
      <c r="J22" s="16"/>
      <c r="K22" s="16"/>
      <c r="L22" s="16"/>
      <c r="M22" s="16"/>
      <c r="N22" s="16"/>
      <c r="O22" s="16"/>
    </row>
    <row r="23" spans="1:15" ht="14.4" x14ac:dyDescent="0.3">
      <c r="A23" s="16" t="s">
        <v>88</v>
      </c>
      <c r="B23" s="86"/>
      <c r="C23" s="86"/>
      <c r="D23" s="86"/>
      <c r="E23" s="86"/>
      <c r="F23" s="86"/>
      <c r="G23" s="86"/>
      <c r="H23" s="86"/>
      <c r="I23" s="16"/>
      <c r="J23" s="16"/>
      <c r="K23" s="16"/>
      <c r="L23" s="16"/>
      <c r="M23" s="16"/>
      <c r="N23" s="16"/>
      <c r="O23" s="16"/>
    </row>
    <row r="24" spans="1:15" ht="13.8" x14ac:dyDescent="0.25">
      <c r="A24" s="16"/>
      <c r="B24" s="34"/>
      <c r="C24" s="34"/>
      <c r="D24" s="34"/>
      <c r="E24" s="34"/>
      <c r="F24" s="34"/>
      <c r="G24" s="34"/>
      <c r="H24" s="34"/>
      <c r="I24" s="16"/>
      <c r="J24" s="16"/>
      <c r="K24" s="16"/>
      <c r="L24" s="16"/>
      <c r="M24" s="16"/>
      <c r="N24" s="16"/>
      <c r="O24" s="16"/>
    </row>
    <row r="25" spans="1:15" ht="13.8" x14ac:dyDescent="0.25">
      <c r="A25" s="16"/>
      <c r="B25" s="34"/>
      <c r="C25" s="39"/>
      <c r="D25" s="34"/>
      <c r="E25" s="34"/>
      <c r="F25" s="34"/>
      <c r="G25" s="34"/>
      <c r="H25" s="34"/>
      <c r="I25" s="16"/>
      <c r="J25" s="16"/>
      <c r="K25" s="16"/>
      <c r="L25" s="16"/>
      <c r="M25" s="16"/>
      <c r="N25" s="16"/>
      <c r="O25" s="16"/>
    </row>
    <row r="26" spans="1:15" ht="13.8" x14ac:dyDescent="0.25">
      <c r="A26" s="15" t="s">
        <v>6</v>
      </c>
      <c r="B26" s="15"/>
      <c r="C26" s="15"/>
      <c r="D26" s="15"/>
      <c r="E26" s="15"/>
      <c r="F26" s="15"/>
      <c r="G26" s="15"/>
      <c r="H26" s="15"/>
      <c r="I26" s="16"/>
      <c r="J26" s="15"/>
      <c r="K26" s="16"/>
      <c r="L26" s="16"/>
      <c r="M26" s="16"/>
      <c r="N26" s="16"/>
      <c r="O26" s="16"/>
    </row>
    <row r="27" spans="1:15" ht="13.8" x14ac:dyDescent="0.25">
      <c r="A27" s="16"/>
      <c r="B27" s="167" t="s">
        <v>57</v>
      </c>
      <c r="C27" s="167"/>
      <c r="D27" s="167"/>
      <c r="E27" s="167"/>
      <c r="F27" s="16"/>
      <c r="G27" s="167" t="s">
        <v>58</v>
      </c>
      <c r="H27" s="167"/>
      <c r="I27" s="167"/>
      <c r="J27" s="16"/>
      <c r="K27" s="16"/>
      <c r="L27" s="16"/>
      <c r="M27" s="16"/>
      <c r="N27" s="16"/>
      <c r="O27" s="16"/>
    </row>
    <row r="28" spans="1:15" ht="13.8" x14ac:dyDescent="0.25">
      <c r="A28" s="16" t="s">
        <v>17</v>
      </c>
      <c r="B28" s="18" t="s">
        <v>69</v>
      </c>
      <c r="C28" s="21"/>
      <c r="D28" s="21"/>
      <c r="E28" s="21"/>
      <c r="F28" s="21"/>
      <c r="G28" s="21"/>
      <c r="H28" s="21"/>
      <c r="I28" s="21"/>
      <c r="J28" s="18" t="s">
        <v>59</v>
      </c>
      <c r="K28" s="16"/>
      <c r="L28" s="16"/>
      <c r="M28" s="16"/>
      <c r="N28" s="16"/>
      <c r="O28" s="16"/>
    </row>
    <row r="29" spans="1:15" ht="13.8" x14ac:dyDescent="0.25">
      <c r="A29" s="22" t="s">
        <v>60</v>
      </c>
      <c r="B29" s="24" t="s">
        <v>61</v>
      </c>
      <c r="C29" s="24" t="s">
        <v>26</v>
      </c>
      <c r="D29" s="26" t="s">
        <v>70</v>
      </c>
      <c r="E29" s="24" t="s">
        <v>82</v>
      </c>
      <c r="F29" s="25"/>
      <c r="G29" s="24" t="s">
        <v>63</v>
      </c>
      <c r="H29" s="24" t="s">
        <v>30</v>
      </c>
      <c r="I29" s="24" t="s">
        <v>62</v>
      </c>
      <c r="J29" s="24" t="s">
        <v>65</v>
      </c>
      <c r="K29" s="16"/>
      <c r="L29" s="16"/>
      <c r="M29" s="16"/>
      <c r="N29" s="16"/>
      <c r="O29" s="16"/>
    </row>
    <row r="30" spans="1:15" ht="14.4" x14ac:dyDescent="0.3">
      <c r="A30" s="16"/>
      <c r="B30" s="172" t="s">
        <v>74</v>
      </c>
      <c r="C30" s="172"/>
      <c r="D30" s="172"/>
      <c r="E30" s="172"/>
      <c r="F30" s="172"/>
      <c r="G30" s="172"/>
      <c r="H30" s="172"/>
      <c r="I30" s="172"/>
      <c r="J30" s="172"/>
      <c r="K30" s="16"/>
      <c r="L30" s="16"/>
      <c r="M30" s="16"/>
      <c r="N30" s="16"/>
      <c r="O30" s="16"/>
    </row>
    <row r="31" spans="1:15" ht="13.8" x14ac:dyDescent="0.25">
      <c r="A31" s="16" t="s">
        <v>37</v>
      </c>
      <c r="B31" s="85">
        <v>48.207999999999998</v>
      </c>
      <c r="C31" s="87">
        <v>430</v>
      </c>
      <c r="D31" s="85">
        <v>24.878063955389997</v>
      </c>
      <c r="E31" s="93">
        <f>B31+C31+D31</f>
        <v>503.08606395538999</v>
      </c>
      <c r="F31" s="86"/>
      <c r="G31" s="87">
        <f>I31-H31</f>
        <v>325.68860562582</v>
      </c>
      <c r="H31" s="87">
        <v>127.69945832956999</v>
      </c>
      <c r="I31" s="87">
        <f>E31-J31</f>
        <v>453.38806395539001</v>
      </c>
      <c r="J31" s="87">
        <v>49.698</v>
      </c>
      <c r="K31" s="16"/>
      <c r="L31" s="16"/>
      <c r="M31" s="16"/>
      <c r="N31" s="16"/>
      <c r="O31" s="16"/>
    </row>
    <row r="32" spans="1:15" ht="16.2" x14ac:dyDescent="0.25">
      <c r="A32" s="16" t="s">
        <v>155</v>
      </c>
      <c r="B32" s="85">
        <f>J31</f>
        <v>49.698</v>
      </c>
      <c r="C32" s="87">
        <v>380</v>
      </c>
      <c r="D32" s="85">
        <v>20</v>
      </c>
      <c r="E32" s="93">
        <f>B32+C32+D32</f>
        <v>449.69799999999998</v>
      </c>
      <c r="F32" s="86"/>
      <c r="G32" s="87">
        <v>319.69799999999998</v>
      </c>
      <c r="H32" s="87">
        <v>80</v>
      </c>
      <c r="I32" s="87">
        <f>SUM(G32:H32)</f>
        <v>399.69799999999998</v>
      </c>
      <c r="J32" s="87">
        <f>E32-I32</f>
        <v>50</v>
      </c>
      <c r="K32" s="16"/>
      <c r="L32" s="16"/>
      <c r="M32" s="16"/>
      <c r="N32" s="16"/>
      <c r="O32" s="16"/>
    </row>
    <row r="33" spans="1:17" ht="16.2" x14ac:dyDescent="0.25">
      <c r="A33" s="15" t="s">
        <v>154</v>
      </c>
      <c r="B33" s="89">
        <f>J32</f>
        <v>50</v>
      </c>
      <c r="C33" s="91">
        <v>420</v>
      </c>
      <c r="D33" s="89">
        <v>20</v>
      </c>
      <c r="E33" s="94">
        <f>B33+C33+D33</f>
        <v>490</v>
      </c>
      <c r="F33" s="90"/>
      <c r="G33" s="91">
        <v>360.30200000000002</v>
      </c>
      <c r="H33" s="91">
        <v>80</v>
      </c>
      <c r="I33" s="91">
        <f>SUM(G33:H33)</f>
        <v>440.30200000000002</v>
      </c>
      <c r="J33" s="91">
        <f>E33-I33</f>
        <v>49.697999999999979</v>
      </c>
      <c r="K33" s="16"/>
      <c r="L33" s="16"/>
      <c r="M33" s="16"/>
      <c r="N33" s="16"/>
      <c r="O33" s="16"/>
    </row>
    <row r="34" spans="1:17" ht="16.2" x14ac:dyDescent="0.25">
      <c r="A34" s="49" t="s">
        <v>84</v>
      </c>
      <c r="B34" s="16"/>
      <c r="C34" s="83"/>
      <c r="D34" s="83"/>
      <c r="E34" s="83"/>
      <c r="F34" s="83"/>
      <c r="G34" s="83"/>
      <c r="H34" s="83"/>
      <c r="I34" s="16"/>
      <c r="J34" s="16"/>
      <c r="K34" s="16"/>
      <c r="L34" s="16"/>
      <c r="M34" s="16"/>
      <c r="N34" s="16"/>
      <c r="O34" s="16"/>
    </row>
    <row r="35" spans="1:17" ht="14.4" x14ac:dyDescent="0.3">
      <c r="A35" s="16" t="s">
        <v>88</v>
      </c>
      <c r="B35" s="34"/>
      <c r="C35" s="39"/>
      <c r="D35" s="34"/>
      <c r="E35" s="34"/>
      <c r="F35" s="34"/>
      <c r="G35" s="34"/>
      <c r="H35" s="34"/>
      <c r="I35" s="16"/>
      <c r="J35" s="16"/>
      <c r="K35" s="16"/>
      <c r="L35" s="16"/>
      <c r="M35" s="16"/>
      <c r="N35" s="16"/>
      <c r="O35" s="16"/>
    </row>
    <row r="36" spans="1:17" ht="13.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7" ht="13.8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7" ht="13.8" x14ac:dyDescent="0.25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</row>
    <row r="39" spans="1:17" ht="13.8" x14ac:dyDescent="0.25">
      <c r="A39" s="16"/>
      <c r="B39" s="167" t="s">
        <v>13</v>
      </c>
      <c r="C39" s="167"/>
      <c r="D39" s="18" t="s">
        <v>14</v>
      </c>
      <c r="E39" s="167" t="s">
        <v>15</v>
      </c>
      <c r="F39" s="167"/>
      <c r="G39" s="167"/>
      <c r="H39" s="167"/>
      <c r="I39" s="16"/>
      <c r="J39" s="167" t="s">
        <v>58</v>
      </c>
      <c r="K39" s="167"/>
      <c r="L39" s="167"/>
      <c r="M39" s="167"/>
      <c r="N39" s="167"/>
      <c r="O39" s="82"/>
    </row>
    <row r="40" spans="1:17" ht="13.8" x14ac:dyDescent="0.25">
      <c r="A40" s="16" t="s">
        <v>17</v>
      </c>
      <c r="B40" s="18" t="s">
        <v>18</v>
      </c>
      <c r="C40" s="18" t="s">
        <v>19</v>
      </c>
      <c r="D40" s="16"/>
      <c r="E40" s="18" t="s">
        <v>69</v>
      </c>
      <c r="F40" s="18"/>
      <c r="G40" s="18"/>
      <c r="H40" s="18"/>
      <c r="I40" s="16"/>
      <c r="J40" s="63" t="s">
        <v>86</v>
      </c>
      <c r="K40" s="18"/>
      <c r="L40" s="18" t="s">
        <v>22</v>
      </c>
      <c r="M40" s="18"/>
      <c r="N40" s="18"/>
      <c r="O40" s="18" t="s">
        <v>59</v>
      </c>
    </row>
    <row r="41" spans="1:17" ht="13.8" x14ac:dyDescent="0.25">
      <c r="A41" s="22" t="s">
        <v>77</v>
      </c>
      <c r="B41" s="23"/>
      <c r="C41" s="23"/>
      <c r="D41" s="23"/>
      <c r="E41" s="24" t="s">
        <v>61</v>
      </c>
      <c r="F41" s="24" t="s">
        <v>26</v>
      </c>
      <c r="G41" s="24" t="s">
        <v>70</v>
      </c>
      <c r="H41" s="24" t="s">
        <v>82</v>
      </c>
      <c r="I41" s="24"/>
      <c r="J41" s="24" t="s">
        <v>89</v>
      </c>
      <c r="K41" s="24" t="s">
        <v>80</v>
      </c>
      <c r="L41" s="24" t="s">
        <v>29</v>
      </c>
      <c r="M41" s="26" t="s">
        <v>30</v>
      </c>
      <c r="N41" s="24" t="s">
        <v>62</v>
      </c>
      <c r="O41" s="24" t="s">
        <v>65</v>
      </c>
    </row>
    <row r="42" spans="1:17" ht="14.4" x14ac:dyDescent="0.3">
      <c r="A42" s="16"/>
      <c r="B42" s="170" t="s">
        <v>90</v>
      </c>
      <c r="C42" s="171"/>
      <c r="D42" s="95" t="s">
        <v>91</v>
      </c>
      <c r="E42" s="173" t="s">
        <v>92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1"/>
    </row>
    <row r="43" spans="1:17" ht="13.8" x14ac:dyDescent="0.25">
      <c r="A43" s="16"/>
      <c r="B43" s="18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7" ht="13.8" x14ac:dyDescent="0.25">
      <c r="A44" s="16" t="s">
        <v>37</v>
      </c>
      <c r="B44" s="84">
        <v>1580.2</v>
      </c>
      <c r="C44" s="84">
        <v>1540.1</v>
      </c>
      <c r="D44" s="84">
        <f>F44*1000/C44</f>
        <v>4130.4662034932799</v>
      </c>
      <c r="E44" s="84">
        <v>1968.162</v>
      </c>
      <c r="F44" s="84">
        <v>6361.3310000000001</v>
      </c>
      <c r="G44" s="87">
        <v>107.03</v>
      </c>
      <c r="H44" s="84">
        <f>SUM(E44:G44)</f>
        <v>8436.523000000001</v>
      </c>
      <c r="I44" s="84"/>
      <c r="J44" s="84">
        <v>3313.1</v>
      </c>
      <c r="K44" s="84">
        <v>842.43200000000002</v>
      </c>
      <c r="L44" s="87">
        <f t="shared" ref="L44" si="0">N44-J44-K44-M44</f>
        <v>736.59400000000142</v>
      </c>
      <c r="M44" s="87">
        <v>1184.1400000000001</v>
      </c>
      <c r="N44" s="84">
        <f>H44-O44</f>
        <v>6076.2660000000014</v>
      </c>
      <c r="O44" s="84">
        <v>2360.2570000000001</v>
      </c>
      <c r="P44" s="114"/>
      <c r="Q44" s="114"/>
    </row>
    <row r="45" spans="1:17" ht="16.2" x14ac:dyDescent="0.25">
      <c r="A45" s="16" t="s">
        <v>155</v>
      </c>
      <c r="B45" s="84">
        <v>1450.3</v>
      </c>
      <c r="C45" s="84">
        <v>1385.4</v>
      </c>
      <c r="D45" s="84">
        <f>F45*1000/C45</f>
        <v>4019.1641403204849</v>
      </c>
      <c r="E45" s="84">
        <f>O44</f>
        <v>2360.2570000000001</v>
      </c>
      <c r="F45" s="84">
        <v>5568.15</v>
      </c>
      <c r="G45" s="87">
        <v>100</v>
      </c>
      <c r="H45" s="84">
        <f>SUM(E45:G45)</f>
        <v>8028.4069999999992</v>
      </c>
      <c r="I45" s="84"/>
      <c r="J45" s="84">
        <v>3262.0549068904115</v>
      </c>
      <c r="K45" s="84">
        <v>815</v>
      </c>
      <c r="L45" s="87">
        <v>704</v>
      </c>
      <c r="M45" s="87">
        <v>1150</v>
      </c>
      <c r="N45" s="84">
        <f>SUM(J45:M45)</f>
        <v>5931.0549068904111</v>
      </c>
      <c r="O45" s="88">
        <f>H45-N45</f>
        <v>2097.3520931095882</v>
      </c>
      <c r="P45" s="114"/>
      <c r="Q45" s="114"/>
    </row>
    <row r="46" spans="1:17" ht="16.2" x14ac:dyDescent="0.25">
      <c r="A46" s="15" t="s">
        <v>154</v>
      </c>
      <c r="B46" s="88">
        <v>1578</v>
      </c>
      <c r="C46" s="88">
        <v>1537</v>
      </c>
      <c r="D46" s="88">
        <v>4229.5</v>
      </c>
      <c r="E46" s="88">
        <f>O45</f>
        <v>2097.3520931095882</v>
      </c>
      <c r="F46" s="88">
        <f>C46*D46/1000</f>
        <v>6500.7415000000001</v>
      </c>
      <c r="G46" s="91">
        <v>115</v>
      </c>
      <c r="H46" s="88">
        <f>SUM(E46:G46)</f>
        <v>8713.0935931095883</v>
      </c>
      <c r="I46" s="88"/>
      <c r="J46" s="88">
        <v>3329.06</v>
      </c>
      <c r="K46" s="88">
        <v>875</v>
      </c>
      <c r="L46" s="91">
        <v>759</v>
      </c>
      <c r="M46" s="91">
        <v>1400</v>
      </c>
      <c r="N46" s="88">
        <f>SUM(J46:M46)</f>
        <v>6363.0599999999995</v>
      </c>
      <c r="O46" s="88">
        <f>H46-N46</f>
        <v>2350.0335931095888</v>
      </c>
      <c r="P46" s="114"/>
      <c r="Q46" s="114"/>
    </row>
    <row r="47" spans="1:17" ht="16.2" x14ac:dyDescent="0.25">
      <c r="A47" s="49" t="s">
        <v>84</v>
      </c>
      <c r="B47" s="16"/>
      <c r="C47" s="83"/>
      <c r="D47" s="83"/>
      <c r="E47" s="83"/>
      <c r="F47" s="83"/>
      <c r="G47" s="83"/>
      <c r="H47" s="83"/>
      <c r="I47" s="16"/>
      <c r="J47" s="16"/>
      <c r="K47" s="16"/>
      <c r="L47" s="16"/>
      <c r="M47" s="16"/>
      <c r="N47" s="16"/>
      <c r="O47" s="16"/>
    </row>
    <row r="48" spans="1:17" ht="14.4" x14ac:dyDescent="0.3">
      <c r="A48" s="16" t="s">
        <v>151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4.4" x14ac:dyDescent="0.3">
      <c r="A49" s="16" t="s">
        <v>85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3.8" x14ac:dyDescent="0.25">
      <c r="A50" s="21" t="s">
        <v>56</v>
      </c>
      <c r="B50" s="96">
        <f>Contents!A16</f>
        <v>45121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44.4" customHeight="1" x14ac:dyDescent="0.25">
      <c r="A51" s="97"/>
      <c r="B51" s="98"/>
      <c r="C51" s="98"/>
      <c r="D51" s="98"/>
      <c r="E51" s="98"/>
      <c r="F51" s="98"/>
      <c r="G51" s="98"/>
      <c r="H51" s="98"/>
      <c r="I51" s="98"/>
      <c r="J51" s="145"/>
      <c r="K51" s="98"/>
      <c r="L51" s="98"/>
      <c r="M51" s="98"/>
      <c r="N51" s="98"/>
      <c r="O51" s="98"/>
    </row>
    <row r="52" spans="1:15" ht="15.6" x14ac:dyDescent="0.3">
      <c r="G52" s="72"/>
      <c r="H52" s="72"/>
    </row>
    <row r="53" spans="1:15" ht="15.6" x14ac:dyDescent="0.3">
      <c r="G53" s="72"/>
      <c r="H53" s="72"/>
    </row>
    <row r="54" spans="1:15" ht="15.6" x14ac:dyDescent="0.3">
      <c r="G54" s="72"/>
      <c r="H54" s="72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30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I47"/>
  <sheetViews>
    <sheetView showGridLines="0" zoomScale="70" zoomScaleNormal="70" workbookViewId="0"/>
  </sheetViews>
  <sheetFormatPr defaultColWidth="9.109375" defaultRowHeight="13.2" x14ac:dyDescent="0.25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 x14ac:dyDescent="0.25">
      <c r="A1" s="15" t="s">
        <v>8</v>
      </c>
      <c r="B1" s="15"/>
      <c r="C1" s="15"/>
      <c r="D1" s="15"/>
      <c r="E1" s="15"/>
      <c r="F1" s="15"/>
      <c r="G1" s="15"/>
    </row>
    <row r="2" spans="1:7" ht="15.6" customHeight="1" x14ac:dyDescent="0.25">
      <c r="A2" s="16" t="s">
        <v>93</v>
      </c>
      <c r="B2" s="18" t="s">
        <v>94</v>
      </c>
      <c r="C2" s="18" t="s">
        <v>95</v>
      </c>
      <c r="D2" s="18" t="s">
        <v>96</v>
      </c>
      <c r="E2" s="18" t="s">
        <v>97</v>
      </c>
      <c r="F2" s="18" t="s">
        <v>98</v>
      </c>
      <c r="G2" s="18" t="s">
        <v>99</v>
      </c>
    </row>
    <row r="3" spans="1:7" ht="15.6" customHeight="1" x14ac:dyDescent="0.25">
      <c r="A3" s="15" t="s">
        <v>100</v>
      </c>
      <c r="B3" s="25"/>
      <c r="C3" s="54"/>
      <c r="D3" s="54"/>
      <c r="E3" s="54"/>
      <c r="F3" s="54"/>
      <c r="G3" s="54"/>
    </row>
    <row r="4" spans="1:7" ht="14.4" x14ac:dyDescent="0.3">
      <c r="A4" s="55"/>
      <c r="B4" s="56" t="s">
        <v>101</v>
      </c>
      <c r="C4" s="56" t="s">
        <v>102</v>
      </c>
      <c r="D4" s="56" t="s">
        <v>103</v>
      </c>
      <c r="E4" s="56" t="s">
        <v>103</v>
      </c>
      <c r="F4" s="56" t="s">
        <v>104</v>
      </c>
      <c r="G4" s="56" t="s">
        <v>101</v>
      </c>
    </row>
    <row r="5" spans="1:7" ht="13.8" x14ac:dyDescent="0.25">
      <c r="A5" s="16"/>
      <c r="B5" s="16"/>
      <c r="C5" s="16"/>
      <c r="D5" s="18"/>
      <c r="E5" s="16"/>
      <c r="F5" s="16"/>
      <c r="G5" s="16"/>
    </row>
    <row r="6" spans="1:7" ht="13.8" x14ac:dyDescent="0.25">
      <c r="A6" s="16" t="s">
        <v>105</v>
      </c>
      <c r="B6" s="57">
        <v>11.3</v>
      </c>
      <c r="C6" s="57">
        <v>161</v>
      </c>
      <c r="D6" s="57">
        <v>23.3</v>
      </c>
      <c r="E6" s="57">
        <v>19.3</v>
      </c>
      <c r="F6" s="57">
        <v>22.5</v>
      </c>
      <c r="G6" s="57">
        <v>12.2</v>
      </c>
    </row>
    <row r="7" spans="1:7" ht="13.8" x14ac:dyDescent="0.25">
      <c r="A7" s="16" t="s">
        <v>106</v>
      </c>
      <c r="B7" s="57">
        <v>12.5</v>
      </c>
      <c r="C7" s="57">
        <v>260</v>
      </c>
      <c r="D7" s="57">
        <v>29.1</v>
      </c>
      <c r="E7" s="57">
        <v>24</v>
      </c>
      <c r="F7" s="57">
        <v>31.8</v>
      </c>
      <c r="G7" s="57">
        <v>13.9</v>
      </c>
    </row>
    <row r="8" spans="1:7" ht="13.8" x14ac:dyDescent="0.25">
      <c r="A8" s="16" t="s">
        <v>107</v>
      </c>
      <c r="B8" s="57">
        <v>14.4</v>
      </c>
      <c r="C8" s="57">
        <v>252</v>
      </c>
      <c r="D8" s="57">
        <v>25.4</v>
      </c>
      <c r="E8" s="57">
        <v>26.5</v>
      </c>
      <c r="F8" s="57">
        <v>30.1</v>
      </c>
      <c r="G8" s="57">
        <v>13.8</v>
      </c>
    </row>
    <row r="9" spans="1:7" ht="13.8" x14ac:dyDescent="0.25">
      <c r="A9" s="16" t="s">
        <v>108</v>
      </c>
      <c r="B9" s="57">
        <v>13</v>
      </c>
      <c r="C9" s="57">
        <v>246</v>
      </c>
      <c r="D9" s="57">
        <v>21.4</v>
      </c>
      <c r="E9" s="57">
        <v>20.6</v>
      </c>
      <c r="F9" s="57">
        <v>24.9</v>
      </c>
      <c r="G9" s="57">
        <v>13.8</v>
      </c>
    </row>
    <row r="10" spans="1:7" ht="13.8" x14ac:dyDescent="0.25">
      <c r="A10" s="16" t="s">
        <v>109</v>
      </c>
      <c r="B10" s="57">
        <v>10.1</v>
      </c>
      <c r="C10" s="57">
        <v>194</v>
      </c>
      <c r="D10" s="57">
        <v>21.7</v>
      </c>
      <c r="E10" s="57">
        <v>16.899999999999999</v>
      </c>
      <c r="F10" s="57">
        <v>22</v>
      </c>
      <c r="G10" s="57">
        <v>11.8</v>
      </c>
    </row>
    <row r="11" spans="1:7" ht="13.8" x14ac:dyDescent="0.25">
      <c r="A11" s="16" t="s">
        <v>110</v>
      </c>
      <c r="B11" s="57">
        <v>8.9499999999999993</v>
      </c>
      <c r="C11" s="57">
        <v>227</v>
      </c>
      <c r="D11" s="57">
        <v>19.600000000000001</v>
      </c>
      <c r="E11" s="57">
        <v>15.6</v>
      </c>
      <c r="F11" s="57">
        <v>19.3</v>
      </c>
      <c r="G11" s="57">
        <v>8.9499999999999993</v>
      </c>
    </row>
    <row r="12" spans="1:7" ht="13.8" x14ac:dyDescent="0.25">
      <c r="A12" s="16" t="s">
        <v>111</v>
      </c>
      <c r="B12" s="57">
        <v>9.4700000000000006</v>
      </c>
      <c r="C12" s="57">
        <v>195</v>
      </c>
      <c r="D12" s="57">
        <v>17.399999999999999</v>
      </c>
      <c r="E12" s="57">
        <v>16.600000000000001</v>
      </c>
      <c r="F12" s="57">
        <v>19.7</v>
      </c>
      <c r="G12" s="57">
        <v>8</v>
      </c>
    </row>
    <row r="13" spans="1:7" ht="13.8" x14ac:dyDescent="0.25">
      <c r="A13" s="16" t="s">
        <v>112</v>
      </c>
      <c r="B13" s="57">
        <v>9.33</v>
      </c>
      <c r="C13" s="57">
        <v>142</v>
      </c>
      <c r="D13" s="57">
        <v>17.2</v>
      </c>
      <c r="E13" s="57">
        <v>17.5</v>
      </c>
      <c r="F13" s="57">
        <v>22.9</v>
      </c>
      <c r="G13" s="57">
        <v>9.5299999999999994</v>
      </c>
    </row>
    <row r="14" spans="1:7" ht="13.8" x14ac:dyDescent="0.25">
      <c r="A14" s="16" t="s">
        <v>113</v>
      </c>
      <c r="B14" s="57">
        <v>8.48</v>
      </c>
      <c r="C14" s="57">
        <v>155</v>
      </c>
      <c r="D14" s="57">
        <v>17.399999999999999</v>
      </c>
      <c r="E14" s="57">
        <v>15.8</v>
      </c>
      <c r="F14" s="57">
        <v>21.5</v>
      </c>
      <c r="G14" s="57">
        <v>9.89</v>
      </c>
    </row>
    <row r="15" spans="1:7" ht="13.8" x14ac:dyDescent="0.25">
      <c r="A15" s="16" t="s">
        <v>114</v>
      </c>
      <c r="B15" s="57">
        <v>8.57</v>
      </c>
      <c r="C15" s="57">
        <v>161</v>
      </c>
      <c r="D15" s="57">
        <v>19.5</v>
      </c>
      <c r="E15" s="57">
        <v>14.8</v>
      </c>
      <c r="F15" s="57">
        <v>20.5</v>
      </c>
      <c r="G15" s="57">
        <v>9.15</v>
      </c>
    </row>
    <row r="16" spans="1:7" ht="13.8" x14ac:dyDescent="0.25">
      <c r="A16" s="16" t="s">
        <v>34</v>
      </c>
      <c r="B16" s="57">
        <v>10.8</v>
      </c>
      <c r="C16" s="57">
        <v>194</v>
      </c>
      <c r="D16" s="57">
        <v>21.3</v>
      </c>
      <c r="E16" s="57">
        <v>18.400000000000002</v>
      </c>
      <c r="F16" s="57">
        <v>21</v>
      </c>
      <c r="G16" s="57">
        <v>11.1</v>
      </c>
    </row>
    <row r="17" spans="1:9" ht="13.8" x14ac:dyDescent="0.25">
      <c r="A17" s="16" t="s">
        <v>37</v>
      </c>
      <c r="B17" s="57">
        <v>13.3</v>
      </c>
      <c r="C17" s="57">
        <v>243</v>
      </c>
      <c r="D17" s="57">
        <v>32.9</v>
      </c>
      <c r="E17" s="57">
        <v>32.9</v>
      </c>
      <c r="F17" s="57">
        <v>24.3</v>
      </c>
      <c r="G17" s="57">
        <v>25.9</v>
      </c>
    </row>
    <row r="18" spans="1:9" ht="16.2" x14ac:dyDescent="0.25">
      <c r="A18" s="16" t="s">
        <v>115</v>
      </c>
      <c r="B18" s="57">
        <v>14.2</v>
      </c>
      <c r="C18" s="57">
        <v>332</v>
      </c>
      <c r="D18" s="57">
        <v>26.95</v>
      </c>
      <c r="E18" s="57">
        <v>29.8</v>
      </c>
      <c r="F18" s="57">
        <v>27</v>
      </c>
      <c r="G18" s="128">
        <v>17</v>
      </c>
      <c r="H18" s="127"/>
    </row>
    <row r="19" spans="1:9" ht="16.2" x14ac:dyDescent="0.25">
      <c r="A19" s="16" t="s">
        <v>156</v>
      </c>
      <c r="B19" s="57">
        <v>12.4</v>
      </c>
      <c r="C19" s="57">
        <v>267</v>
      </c>
      <c r="D19" s="57">
        <v>24.6</v>
      </c>
      <c r="E19" s="57">
        <v>24</v>
      </c>
      <c r="F19" s="57">
        <v>26.25</v>
      </c>
      <c r="G19" s="128">
        <v>12.5</v>
      </c>
      <c r="H19" s="127"/>
      <c r="I19" s="150"/>
    </row>
    <row r="20" spans="1:9" ht="13.8" x14ac:dyDescent="0.25">
      <c r="A20" s="16"/>
      <c r="B20" s="58"/>
      <c r="C20" s="59"/>
      <c r="D20" s="60"/>
      <c r="E20" s="60"/>
      <c r="F20" s="59"/>
      <c r="G20" s="61"/>
      <c r="H20" s="50"/>
    </row>
    <row r="21" spans="1:9" ht="13.8" x14ac:dyDescent="0.25">
      <c r="A21" s="62" t="s">
        <v>37</v>
      </c>
      <c r="B21" s="57"/>
      <c r="C21" s="57"/>
      <c r="D21" s="57"/>
      <c r="E21" s="57"/>
      <c r="F21" s="57"/>
      <c r="G21" s="57"/>
    </row>
    <row r="22" spans="1:9" ht="13.8" x14ac:dyDescent="0.25">
      <c r="A22" s="16" t="s">
        <v>38</v>
      </c>
      <c r="B22" s="57">
        <v>12.2</v>
      </c>
      <c r="C22" s="57">
        <v>235</v>
      </c>
      <c r="D22" s="57">
        <v>30.7</v>
      </c>
      <c r="E22" s="57">
        <v>28.7</v>
      </c>
      <c r="F22" s="57">
        <v>22.2</v>
      </c>
      <c r="G22" s="57">
        <v>19.8</v>
      </c>
    </row>
    <row r="23" spans="1:9" ht="13.8" x14ac:dyDescent="0.25">
      <c r="A23" s="16" t="s">
        <v>39</v>
      </c>
      <c r="B23" s="57">
        <v>11.9</v>
      </c>
      <c r="C23" s="57">
        <v>244</v>
      </c>
      <c r="D23" s="57">
        <v>30.5</v>
      </c>
      <c r="E23" s="57">
        <v>29.6</v>
      </c>
      <c r="F23" s="57">
        <v>23.9</v>
      </c>
      <c r="G23" s="57">
        <v>26.2</v>
      </c>
    </row>
    <row r="24" spans="1:9" ht="13.8" x14ac:dyDescent="0.25">
      <c r="A24" s="16" t="s">
        <v>40</v>
      </c>
      <c r="B24" s="57">
        <v>12.1</v>
      </c>
      <c r="C24" s="57">
        <v>244</v>
      </c>
      <c r="D24" s="57">
        <v>30.3</v>
      </c>
      <c r="E24" s="57">
        <v>31.7</v>
      </c>
      <c r="F24" s="57">
        <v>25.4</v>
      </c>
      <c r="G24" s="57">
        <v>26.1</v>
      </c>
    </row>
    <row r="25" spans="1:9" ht="13.8" x14ac:dyDescent="0.25">
      <c r="A25" s="16" t="s">
        <v>42</v>
      </c>
      <c r="B25" s="57">
        <v>12.5</v>
      </c>
      <c r="C25" s="57">
        <v>239</v>
      </c>
      <c r="D25" s="57">
        <v>31.6</v>
      </c>
      <c r="E25" s="57">
        <v>32.5</v>
      </c>
      <c r="F25" s="57">
        <v>24.1</v>
      </c>
      <c r="G25" s="57">
        <v>31.3</v>
      </c>
    </row>
    <row r="26" spans="1:9" ht="13.8" x14ac:dyDescent="0.25">
      <c r="A26" s="16" t="s">
        <v>43</v>
      </c>
      <c r="B26" s="57">
        <v>12.9</v>
      </c>
      <c r="C26" s="57">
        <v>241</v>
      </c>
      <c r="D26" s="57">
        <v>31</v>
      </c>
      <c r="E26" s="57">
        <v>33.700000000000003</v>
      </c>
      <c r="F26" s="57">
        <v>25.9</v>
      </c>
      <c r="G26" s="57">
        <v>31</v>
      </c>
    </row>
    <row r="27" spans="1:9" ht="13.8" x14ac:dyDescent="0.25">
      <c r="A27" s="16" t="s">
        <v>44</v>
      </c>
      <c r="B27" s="57">
        <v>14.7</v>
      </c>
      <c r="C27" s="57">
        <v>256</v>
      </c>
      <c r="D27" s="57">
        <v>32.200000000000003</v>
      </c>
      <c r="E27" s="57">
        <v>37.5</v>
      </c>
      <c r="F27" s="57">
        <v>24.8</v>
      </c>
      <c r="G27" s="57">
        <v>27.5</v>
      </c>
    </row>
    <row r="28" spans="1:9" ht="13.8" x14ac:dyDescent="0.25">
      <c r="A28" s="16" t="s">
        <v>46</v>
      </c>
      <c r="B28" s="57">
        <v>15.4</v>
      </c>
      <c r="C28" s="57" t="s">
        <v>75</v>
      </c>
      <c r="D28" s="57">
        <v>33.9</v>
      </c>
      <c r="E28" s="57">
        <v>39.200000000000003</v>
      </c>
      <c r="F28" s="57">
        <v>25</v>
      </c>
      <c r="G28" s="57">
        <v>28.9</v>
      </c>
    </row>
    <row r="29" spans="1:9" ht="13.8" x14ac:dyDescent="0.25">
      <c r="A29" s="16" t="s">
        <v>47</v>
      </c>
      <c r="B29" s="57">
        <v>15.8</v>
      </c>
      <c r="C29" s="57" t="s">
        <v>75</v>
      </c>
      <c r="D29" s="57">
        <v>37.1</v>
      </c>
      <c r="E29" s="57">
        <v>41.3</v>
      </c>
      <c r="F29" s="57">
        <v>24.8</v>
      </c>
      <c r="G29" s="57">
        <v>30.2</v>
      </c>
    </row>
    <row r="30" spans="1:9" ht="13.8" x14ac:dyDescent="0.25">
      <c r="A30" s="16" t="s">
        <v>48</v>
      </c>
      <c r="B30" s="57">
        <v>16.100000000000001</v>
      </c>
      <c r="C30" s="57" t="s">
        <v>75</v>
      </c>
      <c r="D30" s="57">
        <v>40.1</v>
      </c>
      <c r="E30" s="57">
        <v>42.9</v>
      </c>
      <c r="F30" s="57">
        <v>25.3</v>
      </c>
      <c r="G30" s="57">
        <v>29.7</v>
      </c>
    </row>
    <row r="31" spans="1:9" ht="13.8" x14ac:dyDescent="0.25">
      <c r="A31" s="16" t="s">
        <v>50</v>
      </c>
      <c r="B31" s="57">
        <v>16.399999999999999</v>
      </c>
      <c r="C31" s="57" t="s">
        <v>75</v>
      </c>
      <c r="D31" s="57">
        <v>40.200000000000003</v>
      </c>
      <c r="E31" s="57">
        <v>45.6</v>
      </c>
      <c r="F31" s="57">
        <v>25.2</v>
      </c>
      <c r="G31" s="57">
        <v>23.9</v>
      </c>
    </row>
    <row r="32" spans="1:9" ht="13.8" x14ac:dyDescent="0.25">
      <c r="A32" s="16" t="s">
        <v>51</v>
      </c>
      <c r="B32" s="57">
        <v>15.5</v>
      </c>
      <c r="C32" s="57">
        <v>360</v>
      </c>
      <c r="D32" s="57">
        <v>36.200000000000003</v>
      </c>
      <c r="E32" s="57">
        <v>42.7</v>
      </c>
      <c r="F32" s="57">
        <v>25.3</v>
      </c>
      <c r="G32" s="57">
        <v>24.2</v>
      </c>
    </row>
    <row r="33" spans="1:7" ht="13.8" x14ac:dyDescent="0.25">
      <c r="A33" s="16" t="s">
        <v>52</v>
      </c>
      <c r="B33" s="57">
        <f>15.3</f>
        <v>15.3</v>
      </c>
      <c r="C33" s="57">
        <f>343</f>
        <v>343</v>
      </c>
      <c r="D33" s="57">
        <f>37.8</f>
        <v>37.799999999999997</v>
      </c>
      <c r="E33" s="57">
        <f>40</f>
        <v>40</v>
      </c>
      <c r="F33" s="57">
        <f>25</f>
        <v>25</v>
      </c>
      <c r="G33" s="57">
        <f>20.8</f>
        <v>20.8</v>
      </c>
    </row>
    <row r="34" spans="1:7" ht="13.8" x14ac:dyDescent="0.25">
      <c r="A34" s="16"/>
      <c r="B34" s="57"/>
      <c r="C34" s="57"/>
      <c r="D34" s="57"/>
      <c r="E34" s="57"/>
      <c r="F34" s="57"/>
      <c r="G34" s="57"/>
    </row>
    <row r="35" spans="1:7" ht="13.8" x14ac:dyDescent="0.25">
      <c r="A35" s="62" t="s">
        <v>54</v>
      </c>
      <c r="B35" s="57"/>
      <c r="C35" s="57"/>
      <c r="D35" s="57"/>
      <c r="E35" s="57"/>
      <c r="F35" s="57"/>
      <c r="G35" s="57"/>
    </row>
    <row r="36" spans="1:7" ht="13.8" x14ac:dyDescent="0.25">
      <c r="A36" s="16" t="s">
        <v>38</v>
      </c>
      <c r="B36" s="57">
        <v>14.1</v>
      </c>
      <c r="C36" s="57">
        <v>361</v>
      </c>
      <c r="D36" s="57">
        <v>32.9</v>
      </c>
      <c r="E36" s="57">
        <v>28.1</v>
      </c>
      <c r="F36" s="57">
        <v>25.7</v>
      </c>
      <c r="G36" s="57">
        <v>18.899999999999999</v>
      </c>
    </row>
    <row r="37" spans="1:7" ht="13.8" x14ac:dyDescent="0.25">
      <c r="A37" s="16" t="s">
        <v>39</v>
      </c>
      <c r="B37" s="57">
        <v>13.5</v>
      </c>
      <c r="C37" s="57">
        <v>338</v>
      </c>
      <c r="D37" s="57">
        <v>29.3</v>
      </c>
      <c r="E37" s="57">
        <v>28.1</v>
      </c>
      <c r="F37" s="57">
        <v>26.6</v>
      </c>
      <c r="G37" s="57">
        <v>18.600000000000001</v>
      </c>
    </row>
    <row r="38" spans="1:7" ht="13.8" x14ac:dyDescent="0.25">
      <c r="A38" s="16" t="s">
        <v>40</v>
      </c>
      <c r="B38" s="57">
        <v>14</v>
      </c>
      <c r="C38" s="57">
        <v>323</v>
      </c>
      <c r="D38" s="57">
        <v>28.4</v>
      </c>
      <c r="E38" s="57">
        <v>29.2</v>
      </c>
      <c r="F38" s="57">
        <v>29.9</v>
      </c>
      <c r="G38" s="57">
        <v>19.5</v>
      </c>
    </row>
    <row r="39" spans="1:7" ht="13.8" x14ac:dyDescent="0.25">
      <c r="A39" s="16" t="s">
        <v>42</v>
      </c>
      <c r="B39" s="57">
        <v>14.4</v>
      </c>
      <c r="C39" s="57">
        <v>329</v>
      </c>
      <c r="D39" s="57">
        <v>29.5</v>
      </c>
      <c r="E39" s="57">
        <v>29.2</v>
      </c>
      <c r="F39" s="57">
        <v>24.1</v>
      </c>
      <c r="G39" s="57">
        <v>18.399999999999999</v>
      </c>
    </row>
    <row r="40" spans="1:7" ht="13.8" x14ac:dyDescent="0.25">
      <c r="A40" s="16" t="s">
        <v>43</v>
      </c>
      <c r="B40" s="57">
        <v>14.5</v>
      </c>
      <c r="C40" s="57">
        <v>316</v>
      </c>
      <c r="D40" s="57">
        <v>28.5</v>
      </c>
      <c r="E40" s="57">
        <v>30.1</v>
      </c>
      <c r="F40" s="57">
        <v>27.9</v>
      </c>
      <c r="G40" s="57">
        <v>17.7</v>
      </c>
    </row>
    <row r="41" spans="1:7" ht="13.8" x14ac:dyDescent="0.25">
      <c r="A41" s="16" t="s">
        <v>44</v>
      </c>
      <c r="B41" s="57">
        <v>15.1</v>
      </c>
      <c r="C41" s="57">
        <v>332</v>
      </c>
      <c r="D41" s="57">
        <v>30.8</v>
      </c>
      <c r="E41" s="57">
        <v>30.7</v>
      </c>
      <c r="F41" s="57">
        <v>27.2</v>
      </c>
      <c r="G41" s="57">
        <v>16.2</v>
      </c>
    </row>
    <row r="42" spans="1:7" ht="13.8" x14ac:dyDescent="0.25">
      <c r="A42" s="16" t="s">
        <v>46</v>
      </c>
      <c r="B42" s="57">
        <v>14.9</v>
      </c>
      <c r="C42" s="57" t="s">
        <v>75</v>
      </c>
      <c r="D42" s="57">
        <v>26.9</v>
      </c>
      <c r="E42" s="57">
        <v>30.9</v>
      </c>
      <c r="F42" s="57">
        <v>26.9</v>
      </c>
      <c r="G42" s="57">
        <v>14.8</v>
      </c>
    </row>
    <row r="43" spans="1:7" ht="13.8" x14ac:dyDescent="0.25">
      <c r="A43" s="16" t="s">
        <v>47</v>
      </c>
      <c r="B43" s="57">
        <v>14.9</v>
      </c>
      <c r="C43" s="57" t="s">
        <v>75</v>
      </c>
      <c r="D43" s="57">
        <v>26.9</v>
      </c>
      <c r="E43" s="57">
        <v>26.8</v>
      </c>
      <c r="F43" s="57">
        <v>27.3</v>
      </c>
      <c r="G43" s="57">
        <v>12.1</v>
      </c>
    </row>
    <row r="44" spans="1:7" ht="13.8" x14ac:dyDescent="0.25">
      <c r="A44" s="15" t="s">
        <v>48</v>
      </c>
      <c r="B44" s="14">
        <v>14.4</v>
      </c>
      <c r="C44" s="14" t="s">
        <v>75</v>
      </c>
      <c r="D44" s="14">
        <v>25</v>
      </c>
      <c r="E44" s="14">
        <v>25.2</v>
      </c>
      <c r="F44" s="14">
        <v>27.9</v>
      </c>
      <c r="G44" s="14">
        <v>12.4</v>
      </c>
    </row>
    <row r="45" spans="1:7" ht="16.2" x14ac:dyDescent="0.25">
      <c r="A45" s="16" t="s">
        <v>116</v>
      </c>
      <c r="B45" s="16"/>
      <c r="C45" s="16"/>
      <c r="D45" s="16"/>
      <c r="E45" s="16"/>
      <c r="F45" s="16"/>
      <c r="G45" s="16"/>
    </row>
    <row r="46" spans="1:7" ht="14.4" x14ac:dyDescent="0.3">
      <c r="A46" s="16" t="s">
        <v>117</v>
      </c>
      <c r="B46" s="16"/>
      <c r="C46" s="16"/>
      <c r="D46" s="16"/>
      <c r="E46" s="16"/>
      <c r="F46" s="16"/>
      <c r="G46" s="16"/>
    </row>
    <row r="47" spans="1:7" ht="13.8" x14ac:dyDescent="0.25">
      <c r="A47" s="21" t="s">
        <v>56</v>
      </c>
      <c r="B47" s="43">
        <f>Contents!A16</f>
        <v>45121</v>
      </c>
      <c r="C47" s="16"/>
      <c r="D47" s="16"/>
      <c r="E47" s="16"/>
      <c r="F47" s="16"/>
      <c r="G47" s="16"/>
    </row>
  </sheetData>
  <phoneticPr fontId="3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8"/>
  <sheetViews>
    <sheetView showGridLines="0" zoomScale="70" zoomScaleNormal="70" workbookViewId="0">
      <selection activeCell="C19" sqref="C19"/>
    </sheetView>
  </sheetViews>
  <sheetFormatPr defaultColWidth="9.109375" defaultRowHeight="13.2" x14ac:dyDescent="0.25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  <col min="10" max="10" width="10.109375" bestFit="1" customWidth="1"/>
  </cols>
  <sheetData>
    <row r="1" spans="1:12" ht="13.8" x14ac:dyDescent="0.25">
      <c r="A1" s="15" t="s">
        <v>9</v>
      </c>
      <c r="B1" s="15"/>
      <c r="C1" s="15"/>
      <c r="D1" s="15"/>
      <c r="E1" s="15"/>
      <c r="F1" s="15"/>
      <c r="G1" s="15"/>
      <c r="H1" s="15"/>
      <c r="I1" s="16"/>
    </row>
    <row r="2" spans="1:12" ht="15.6" customHeight="1" x14ac:dyDescent="0.25">
      <c r="A2" s="63" t="s">
        <v>93</v>
      </c>
      <c r="B2" s="18" t="s">
        <v>118</v>
      </c>
      <c r="C2" s="18" t="s">
        <v>119</v>
      </c>
      <c r="D2" s="18" t="s">
        <v>120</v>
      </c>
      <c r="E2" s="64" t="s">
        <v>121</v>
      </c>
      <c r="F2" s="64" t="s">
        <v>122</v>
      </c>
      <c r="G2" s="18" t="s">
        <v>123</v>
      </c>
      <c r="H2" s="18" t="s">
        <v>124</v>
      </c>
      <c r="I2" s="65" t="s">
        <v>125</v>
      </c>
    </row>
    <row r="3" spans="1:12" ht="15.6" customHeight="1" x14ac:dyDescent="0.25">
      <c r="A3" s="66" t="s">
        <v>100</v>
      </c>
      <c r="B3" s="24" t="s">
        <v>126</v>
      </c>
      <c r="C3" s="24" t="s">
        <v>127</v>
      </c>
      <c r="D3" s="24" t="s">
        <v>128</v>
      </c>
      <c r="E3" s="24" t="s">
        <v>128</v>
      </c>
      <c r="F3" s="24" t="s">
        <v>129</v>
      </c>
      <c r="G3" s="24" t="s">
        <v>130</v>
      </c>
      <c r="H3" s="24"/>
      <c r="I3" s="24" t="s">
        <v>131</v>
      </c>
    </row>
    <row r="4" spans="1:12" ht="14.4" x14ac:dyDescent="0.3">
      <c r="A4" s="67" t="s">
        <v>132</v>
      </c>
      <c r="C4" s="68"/>
      <c r="D4" s="68"/>
      <c r="E4" s="68"/>
      <c r="F4" s="68"/>
      <c r="G4" s="68"/>
      <c r="H4" s="68"/>
      <c r="I4" s="68"/>
    </row>
    <row r="5" spans="1:12" ht="13.8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12" ht="13.8" x14ac:dyDescent="0.25">
      <c r="A6" s="16" t="s">
        <v>105</v>
      </c>
      <c r="B6" s="57">
        <v>53.2</v>
      </c>
      <c r="C6" s="57">
        <v>54.5</v>
      </c>
      <c r="D6" s="57">
        <v>86.12</v>
      </c>
      <c r="E6" s="57">
        <v>58.68</v>
      </c>
      <c r="F6" s="57">
        <v>77.239999999999995</v>
      </c>
      <c r="G6" s="57">
        <v>60.76</v>
      </c>
      <c r="H6" s="57">
        <v>51.52</v>
      </c>
      <c r="I6" s="57">
        <v>51.34</v>
      </c>
      <c r="K6" s="73"/>
      <c r="L6" s="73"/>
    </row>
    <row r="7" spans="1:12" ht="13.8" x14ac:dyDescent="0.25">
      <c r="A7" s="16" t="s">
        <v>106</v>
      </c>
      <c r="B7" s="57">
        <v>51.9</v>
      </c>
      <c r="C7" s="57">
        <v>53.22</v>
      </c>
      <c r="D7" s="57">
        <v>83.2</v>
      </c>
      <c r="E7" s="57">
        <v>57.19</v>
      </c>
      <c r="F7" s="57">
        <v>100.15</v>
      </c>
      <c r="G7" s="57">
        <v>56.09</v>
      </c>
      <c r="H7" s="57">
        <v>48.11</v>
      </c>
      <c r="I7" s="57">
        <v>50.33</v>
      </c>
      <c r="K7" s="73"/>
      <c r="L7" s="73"/>
    </row>
    <row r="8" spans="1:12" ht="13.8" x14ac:dyDescent="0.25">
      <c r="A8" s="16" t="s">
        <v>107</v>
      </c>
      <c r="B8" s="57">
        <v>47.13</v>
      </c>
      <c r="C8" s="57">
        <v>48.6</v>
      </c>
      <c r="D8" s="57">
        <v>65.87</v>
      </c>
      <c r="E8" s="57">
        <v>56.17</v>
      </c>
      <c r="F8" s="57">
        <v>91.83</v>
      </c>
      <c r="G8" s="57">
        <v>46.66</v>
      </c>
      <c r="H8" s="57">
        <v>51.8</v>
      </c>
      <c r="I8" s="57">
        <v>43.24</v>
      </c>
      <c r="K8" s="73"/>
      <c r="L8" s="73"/>
    </row>
    <row r="9" spans="1:12" ht="13.8" x14ac:dyDescent="0.25">
      <c r="A9" s="16" t="s">
        <v>108</v>
      </c>
      <c r="B9" s="57">
        <v>38.229999999999997</v>
      </c>
      <c r="C9" s="57">
        <v>60.66</v>
      </c>
      <c r="D9" s="57">
        <v>59.12</v>
      </c>
      <c r="E9" s="57">
        <v>43.7</v>
      </c>
      <c r="F9" s="57">
        <v>68.23</v>
      </c>
      <c r="G9" s="57">
        <v>39.43</v>
      </c>
      <c r="H9" s="57">
        <v>43.93</v>
      </c>
      <c r="I9" s="57">
        <v>39.76</v>
      </c>
      <c r="K9" s="73"/>
      <c r="L9" s="73"/>
    </row>
    <row r="10" spans="1:12" ht="13.8" x14ac:dyDescent="0.25">
      <c r="A10" s="16" t="s">
        <v>109</v>
      </c>
      <c r="B10" s="57">
        <v>31.6</v>
      </c>
      <c r="C10" s="57">
        <v>45.74</v>
      </c>
      <c r="D10" s="57">
        <v>66.72</v>
      </c>
      <c r="E10" s="57">
        <v>37.81</v>
      </c>
      <c r="F10" s="57">
        <v>57.96</v>
      </c>
      <c r="G10" s="57">
        <v>37.479999999999997</v>
      </c>
      <c r="H10" s="57">
        <v>33.43</v>
      </c>
      <c r="I10" s="57">
        <v>31.36</v>
      </c>
      <c r="K10" s="73"/>
      <c r="L10" s="73"/>
    </row>
    <row r="11" spans="1:12" ht="13.8" x14ac:dyDescent="0.25">
      <c r="A11" s="16" t="s">
        <v>110</v>
      </c>
      <c r="B11" s="57">
        <v>29.86</v>
      </c>
      <c r="C11" s="57">
        <v>45.87</v>
      </c>
      <c r="D11" s="57">
        <v>57.81</v>
      </c>
      <c r="E11" s="57">
        <v>35.270000000000003</v>
      </c>
      <c r="F11" s="57">
        <v>58.26</v>
      </c>
      <c r="G11" s="57">
        <v>39.25</v>
      </c>
      <c r="H11" s="57">
        <v>32.229999999999997</v>
      </c>
      <c r="I11" s="57">
        <v>30.07</v>
      </c>
      <c r="K11" s="73"/>
      <c r="L11" s="73"/>
    </row>
    <row r="12" spans="1:12" ht="13.8" x14ac:dyDescent="0.25">
      <c r="A12" s="16" t="s">
        <v>111</v>
      </c>
      <c r="B12" s="57">
        <v>32.549999999999997</v>
      </c>
      <c r="C12" s="57">
        <v>40.92</v>
      </c>
      <c r="D12" s="57">
        <v>53.54</v>
      </c>
      <c r="E12" s="57">
        <v>38.729999999999997</v>
      </c>
      <c r="F12" s="57">
        <v>66.73</v>
      </c>
      <c r="G12" s="57">
        <v>37.43</v>
      </c>
      <c r="H12" s="57">
        <v>33.07</v>
      </c>
      <c r="I12" s="57">
        <v>34.75</v>
      </c>
      <c r="K12" s="73"/>
      <c r="L12" s="73"/>
    </row>
    <row r="13" spans="1:12" ht="13.8" x14ac:dyDescent="0.25">
      <c r="A13" s="16" t="s">
        <v>112</v>
      </c>
      <c r="B13" s="57">
        <v>30.04</v>
      </c>
      <c r="C13" s="57">
        <v>31.87</v>
      </c>
      <c r="D13" s="57">
        <v>54.57</v>
      </c>
      <c r="E13" s="57">
        <v>38.270000000000003</v>
      </c>
      <c r="F13" s="57">
        <v>66.72</v>
      </c>
      <c r="G13" s="57">
        <v>30.35</v>
      </c>
      <c r="H13" s="57">
        <v>34.159999999999997</v>
      </c>
      <c r="I13" s="57">
        <v>31.21</v>
      </c>
      <c r="K13" s="73"/>
      <c r="L13" s="73"/>
    </row>
    <row r="14" spans="1:12" ht="13.8" x14ac:dyDescent="0.25">
      <c r="A14" s="16" t="s">
        <v>113</v>
      </c>
      <c r="B14" s="57">
        <v>28.26</v>
      </c>
      <c r="C14" s="57">
        <v>35.14</v>
      </c>
      <c r="D14" s="57">
        <v>53.28</v>
      </c>
      <c r="E14" s="57">
        <v>36.090000000000003</v>
      </c>
      <c r="F14" s="57">
        <v>64.72</v>
      </c>
      <c r="G14" s="57">
        <v>26.93</v>
      </c>
      <c r="H14" s="57">
        <v>31.65</v>
      </c>
      <c r="I14" s="57">
        <v>33.11</v>
      </c>
      <c r="K14" s="73"/>
      <c r="L14" s="73"/>
    </row>
    <row r="15" spans="1:12" ht="13.8" x14ac:dyDescent="0.25">
      <c r="A15" s="16" t="s">
        <v>114</v>
      </c>
      <c r="B15" s="57">
        <v>29.65</v>
      </c>
      <c r="C15" s="57">
        <v>40.18</v>
      </c>
      <c r="D15" s="57">
        <v>65.03</v>
      </c>
      <c r="E15" s="57">
        <v>37.869999999999997</v>
      </c>
      <c r="F15" s="57">
        <v>62</v>
      </c>
      <c r="G15" s="57">
        <v>39.47</v>
      </c>
      <c r="H15" s="57">
        <v>35.75</v>
      </c>
      <c r="I15" s="57">
        <v>38.369999999999997</v>
      </c>
      <c r="K15" s="73"/>
      <c r="L15" s="73"/>
    </row>
    <row r="16" spans="1:12" ht="13.8" x14ac:dyDescent="0.25">
      <c r="A16" s="16" t="s">
        <v>34</v>
      </c>
      <c r="B16" s="57">
        <v>56.87</v>
      </c>
      <c r="C16" s="57">
        <v>80.94</v>
      </c>
      <c r="D16" s="57">
        <v>79</v>
      </c>
      <c r="E16" s="57">
        <v>70.459999999999994</v>
      </c>
      <c r="F16" s="57">
        <v>101.4</v>
      </c>
      <c r="G16" s="57">
        <v>53.88</v>
      </c>
      <c r="H16" s="57">
        <v>55.89</v>
      </c>
      <c r="I16" s="57">
        <v>54.98</v>
      </c>
      <c r="K16" s="73"/>
      <c r="L16" s="73"/>
    </row>
    <row r="17" spans="1:12" ht="13.8" x14ac:dyDescent="0.25">
      <c r="A17" s="16" t="s">
        <v>37</v>
      </c>
      <c r="B17" s="57">
        <v>72.98</v>
      </c>
      <c r="C17" s="57">
        <v>107.15</v>
      </c>
      <c r="D17" s="57">
        <v>111.39</v>
      </c>
      <c r="E17" s="57">
        <v>90.52</v>
      </c>
      <c r="F17" s="57">
        <v>106.98</v>
      </c>
      <c r="G17" s="57">
        <v>64.28</v>
      </c>
      <c r="H17" s="57">
        <v>82</v>
      </c>
      <c r="I17" s="57">
        <v>81.84</v>
      </c>
      <c r="J17" s="106"/>
      <c r="K17" s="73"/>
      <c r="L17" s="73"/>
    </row>
    <row r="18" spans="1:12" ht="16.2" x14ac:dyDescent="0.25">
      <c r="A18" s="16" t="s">
        <v>133</v>
      </c>
      <c r="B18" s="57">
        <v>64</v>
      </c>
      <c r="C18" s="128">
        <v>100</v>
      </c>
      <c r="D18" s="57">
        <v>80</v>
      </c>
      <c r="E18" s="57">
        <v>70</v>
      </c>
      <c r="F18" s="57">
        <v>99</v>
      </c>
      <c r="G18" s="57">
        <v>60</v>
      </c>
      <c r="H18" s="57">
        <v>82</v>
      </c>
      <c r="I18" s="57">
        <v>77</v>
      </c>
      <c r="J18" s="106"/>
      <c r="K18" s="73"/>
      <c r="L18" s="73"/>
    </row>
    <row r="19" spans="1:12" ht="16.2" x14ac:dyDescent="0.25">
      <c r="A19" s="16" t="s">
        <v>157</v>
      </c>
      <c r="B19" s="57">
        <v>60</v>
      </c>
      <c r="C19" s="57">
        <v>81</v>
      </c>
      <c r="D19" s="57">
        <v>82</v>
      </c>
      <c r="E19" s="57">
        <v>63</v>
      </c>
      <c r="F19" s="57">
        <v>95</v>
      </c>
      <c r="G19" s="57">
        <v>58</v>
      </c>
      <c r="H19" s="57">
        <v>80</v>
      </c>
      <c r="I19" s="57">
        <v>75</v>
      </c>
      <c r="J19" s="106"/>
      <c r="K19" s="73"/>
      <c r="L19" s="73"/>
    </row>
    <row r="20" spans="1:12" ht="13.8" x14ac:dyDescent="0.25">
      <c r="A20" s="16"/>
      <c r="B20" s="69"/>
      <c r="C20" s="69"/>
      <c r="D20" s="69"/>
      <c r="E20" s="69"/>
      <c r="F20" s="69"/>
      <c r="G20" s="69"/>
      <c r="H20" s="69"/>
      <c r="I20" s="69"/>
    </row>
    <row r="21" spans="1:12" ht="13.8" x14ac:dyDescent="0.25">
      <c r="A21" s="36" t="s">
        <v>37</v>
      </c>
      <c r="B21" s="57"/>
      <c r="C21" s="57"/>
      <c r="D21" s="57"/>
      <c r="E21" s="57"/>
      <c r="F21" s="57"/>
      <c r="G21" s="57"/>
      <c r="H21" s="57"/>
      <c r="I21" s="57"/>
      <c r="L21" s="106"/>
    </row>
    <row r="22" spans="1:12" ht="13.8" x14ac:dyDescent="0.25">
      <c r="A22" s="16" t="s">
        <v>39</v>
      </c>
      <c r="B22" s="57">
        <v>70.42</v>
      </c>
      <c r="C22" s="57">
        <v>98.5</v>
      </c>
      <c r="D22" s="57">
        <v>129</v>
      </c>
      <c r="E22" s="57">
        <v>82.3</v>
      </c>
      <c r="F22" s="57">
        <v>101.5</v>
      </c>
      <c r="G22" s="57">
        <v>57.069999999999993</v>
      </c>
      <c r="H22" s="57" t="s">
        <v>75</v>
      </c>
      <c r="I22" s="57" t="s">
        <v>75</v>
      </c>
      <c r="K22" s="109"/>
      <c r="L22" s="108"/>
    </row>
    <row r="23" spans="1:12" ht="13.8" x14ac:dyDescent="0.25">
      <c r="A23" s="16" t="s">
        <v>40</v>
      </c>
      <c r="B23" s="57">
        <v>66.459999999999994</v>
      </c>
      <c r="C23" s="57">
        <v>96.75</v>
      </c>
      <c r="D23" s="57">
        <v>125</v>
      </c>
      <c r="E23" s="57">
        <v>84.375</v>
      </c>
      <c r="F23" s="57">
        <v>100</v>
      </c>
      <c r="G23" s="57">
        <v>57.918000000000006</v>
      </c>
      <c r="H23" s="57" t="s">
        <v>75</v>
      </c>
      <c r="I23" s="57">
        <v>80.06</v>
      </c>
      <c r="K23" s="109"/>
      <c r="L23" s="109"/>
    </row>
    <row r="24" spans="1:12" ht="13.8" x14ac:dyDescent="0.25">
      <c r="A24" s="16" t="s">
        <v>42</v>
      </c>
      <c r="B24" s="57">
        <v>63.69</v>
      </c>
      <c r="C24" s="57">
        <v>93.3</v>
      </c>
      <c r="D24" s="57">
        <v>125</v>
      </c>
      <c r="E24" s="57">
        <v>82.95</v>
      </c>
      <c r="F24" s="57">
        <v>100</v>
      </c>
      <c r="G24" s="57">
        <v>56.093333333333334</v>
      </c>
      <c r="H24" s="57" t="s">
        <v>75</v>
      </c>
      <c r="I24" s="57">
        <v>73</v>
      </c>
      <c r="K24" s="109"/>
      <c r="L24" s="109"/>
    </row>
    <row r="25" spans="1:12" ht="13.8" x14ac:dyDescent="0.25">
      <c r="A25" s="16" t="s">
        <v>43</v>
      </c>
      <c r="B25" s="57">
        <v>65.7</v>
      </c>
      <c r="C25" s="57">
        <v>97.9375</v>
      </c>
      <c r="D25" s="57">
        <v>123.125</v>
      </c>
      <c r="E25" s="57">
        <v>88.5625</v>
      </c>
      <c r="F25" s="57">
        <v>103.125</v>
      </c>
      <c r="G25" s="57">
        <v>54.09</v>
      </c>
      <c r="H25" s="57" t="s">
        <v>75</v>
      </c>
      <c r="I25" s="57">
        <v>76.5</v>
      </c>
      <c r="K25" s="109"/>
    </row>
    <row r="26" spans="1:12" ht="13.8" x14ac:dyDescent="0.25">
      <c r="A26" s="16" t="s">
        <v>44</v>
      </c>
      <c r="B26" s="57">
        <v>70.91</v>
      </c>
      <c r="C26" s="57">
        <v>101.375</v>
      </c>
      <c r="D26" s="57">
        <v>115.33333333333333</v>
      </c>
      <c r="E26" s="57">
        <v>85.875</v>
      </c>
      <c r="F26" s="57">
        <v>105</v>
      </c>
      <c r="G26" s="57">
        <v>59.29</v>
      </c>
      <c r="H26" s="57">
        <v>82</v>
      </c>
      <c r="I26" s="57">
        <v>80</v>
      </c>
    </row>
    <row r="27" spans="1:12" ht="13.8" x14ac:dyDescent="0.25">
      <c r="A27" s="16" t="s">
        <v>46</v>
      </c>
      <c r="B27" s="57">
        <v>76.405000000000001</v>
      </c>
      <c r="C27" s="57">
        <v>114.875</v>
      </c>
      <c r="D27" s="57">
        <v>129</v>
      </c>
      <c r="E27" s="57">
        <v>92</v>
      </c>
      <c r="F27" s="57">
        <v>107.5</v>
      </c>
      <c r="G27" s="57">
        <v>67.1875</v>
      </c>
      <c r="H27" s="57" t="s">
        <v>75</v>
      </c>
      <c r="I27" s="57">
        <v>81.5</v>
      </c>
    </row>
    <row r="28" spans="1:12" ht="13.8" x14ac:dyDescent="0.25">
      <c r="A28" s="16" t="s">
        <v>47</v>
      </c>
      <c r="B28" s="57">
        <v>83.846000000000004</v>
      </c>
      <c r="C28" s="57">
        <v>120.05</v>
      </c>
      <c r="D28" s="57">
        <v>120.4</v>
      </c>
      <c r="E28" s="57">
        <v>103.15</v>
      </c>
      <c r="F28" s="57">
        <v>115</v>
      </c>
      <c r="G28" s="57">
        <v>71.55</v>
      </c>
      <c r="H28" s="57" t="s">
        <v>75</v>
      </c>
      <c r="I28" s="57">
        <v>83.125</v>
      </c>
    </row>
    <row r="29" spans="1:12" ht="13.8" x14ac:dyDescent="0.25">
      <c r="A29" s="16" t="s">
        <v>48</v>
      </c>
      <c r="B29" s="57">
        <v>87.385000000000005</v>
      </c>
      <c r="C29" s="57">
        <v>119.5625</v>
      </c>
      <c r="D29" s="57">
        <v>113.5</v>
      </c>
      <c r="E29" s="57">
        <v>108.6875</v>
      </c>
      <c r="F29" s="57">
        <v>116.25</v>
      </c>
      <c r="G29" s="57">
        <v>77.802499999999995</v>
      </c>
      <c r="H29" s="57" t="s">
        <v>75</v>
      </c>
      <c r="I29" s="57">
        <v>84.25</v>
      </c>
    </row>
    <row r="30" spans="1:12" ht="13.8" x14ac:dyDescent="0.25">
      <c r="A30" s="16" t="s">
        <v>50</v>
      </c>
      <c r="B30" s="57">
        <v>80.297499999999999</v>
      </c>
      <c r="C30" s="57">
        <v>115.75</v>
      </c>
      <c r="D30" s="57">
        <v>97.75</v>
      </c>
      <c r="E30" s="57">
        <v>102.25</v>
      </c>
      <c r="F30" s="57">
        <v>116.25</v>
      </c>
      <c r="G30" s="57">
        <v>76.375</v>
      </c>
      <c r="H30" s="57" t="s">
        <v>75</v>
      </c>
      <c r="I30" s="57">
        <v>86.5</v>
      </c>
    </row>
    <row r="31" spans="1:12" ht="13.8" x14ac:dyDescent="0.25">
      <c r="A31" s="16" t="s">
        <v>51</v>
      </c>
      <c r="B31" s="57">
        <v>67.74799999999999</v>
      </c>
      <c r="C31" s="57">
        <v>100.8</v>
      </c>
      <c r="D31" s="57">
        <v>78.2</v>
      </c>
      <c r="E31" s="57">
        <v>87.9</v>
      </c>
      <c r="F31" s="57">
        <v>103.2</v>
      </c>
      <c r="G31" s="57">
        <v>62.25</v>
      </c>
      <c r="H31" s="57" t="s">
        <v>75</v>
      </c>
      <c r="I31" s="57">
        <v>81.5</v>
      </c>
    </row>
    <row r="32" spans="1:12" ht="13.8" x14ac:dyDescent="0.25">
      <c r="A32" s="16" t="s">
        <v>52</v>
      </c>
      <c r="B32" s="57">
        <v>72.334999999999994</v>
      </c>
      <c r="C32" s="57">
        <v>113.75</v>
      </c>
      <c r="D32" s="57">
        <v>92</v>
      </c>
      <c r="E32" s="57">
        <v>91.3125</v>
      </c>
      <c r="F32" s="57">
        <v>107.25</v>
      </c>
      <c r="G32" s="57">
        <v>65.4375</v>
      </c>
      <c r="H32" s="57" t="s">
        <v>75</v>
      </c>
      <c r="I32" s="57" t="s">
        <v>75</v>
      </c>
    </row>
    <row r="33" spans="1:12" ht="13.8" x14ac:dyDescent="0.25">
      <c r="A33" s="16" t="s">
        <v>38</v>
      </c>
      <c r="B33" s="57">
        <v>70.626000000000005</v>
      </c>
      <c r="C33" s="57">
        <v>113.2</v>
      </c>
      <c r="D33" s="57">
        <v>88.4</v>
      </c>
      <c r="E33" s="57">
        <v>76.849999999999994</v>
      </c>
      <c r="F33" s="57">
        <v>111.6</v>
      </c>
      <c r="G33" s="57">
        <v>66.263999999999996</v>
      </c>
      <c r="H33" s="57" t="s">
        <v>75</v>
      </c>
      <c r="I33" s="57">
        <v>92</v>
      </c>
      <c r="K33" s="73"/>
      <c r="L33" s="73"/>
    </row>
    <row r="34" spans="1:12" ht="13.8" x14ac:dyDescent="0.25">
      <c r="A34" s="16"/>
      <c r="B34" s="57"/>
      <c r="C34" s="57"/>
      <c r="D34" s="57"/>
      <c r="E34" s="57"/>
      <c r="F34" s="57"/>
      <c r="G34" s="57"/>
      <c r="H34" s="57"/>
      <c r="I34" s="57"/>
      <c r="K34" s="73"/>
      <c r="L34" s="73"/>
    </row>
    <row r="35" spans="1:12" ht="13.8" x14ac:dyDescent="0.25">
      <c r="A35" s="36" t="s">
        <v>54</v>
      </c>
      <c r="B35" s="57"/>
      <c r="C35" s="57"/>
      <c r="D35" s="57"/>
      <c r="E35" s="57"/>
      <c r="F35" s="57"/>
      <c r="G35" s="57"/>
      <c r="H35" s="57"/>
      <c r="I35" s="57"/>
      <c r="K35" s="73"/>
      <c r="L35" s="73"/>
    </row>
    <row r="36" spans="1:12" ht="13.8" x14ac:dyDescent="0.25">
      <c r="A36" s="16" t="s">
        <v>39</v>
      </c>
      <c r="B36" s="57">
        <v>72.67</v>
      </c>
      <c r="C36" s="57">
        <v>110.1875</v>
      </c>
      <c r="D36" s="57">
        <v>93.75</v>
      </c>
      <c r="E36" s="57">
        <v>80.125</v>
      </c>
      <c r="F36" s="57">
        <v>107.75</v>
      </c>
      <c r="G36" s="57">
        <v>65.412499999999994</v>
      </c>
      <c r="H36" s="57">
        <v>88</v>
      </c>
      <c r="I36" s="57">
        <v>88.5</v>
      </c>
      <c r="K36" s="73"/>
      <c r="L36" s="73"/>
    </row>
    <row r="37" spans="1:12" ht="13.8" x14ac:dyDescent="0.25">
      <c r="A37" s="16" t="s">
        <v>40</v>
      </c>
      <c r="B37" s="57">
        <v>79.180000000000007</v>
      </c>
      <c r="C37" s="57">
        <v>116.6875</v>
      </c>
      <c r="D37" s="57">
        <v>106</v>
      </c>
      <c r="E37" s="57">
        <v>84.375</v>
      </c>
      <c r="F37" s="57">
        <v>111</v>
      </c>
      <c r="G37" s="57">
        <v>69.67</v>
      </c>
      <c r="H37" s="57" t="s">
        <v>75</v>
      </c>
      <c r="I37" s="57">
        <v>88.5</v>
      </c>
      <c r="K37" s="73"/>
      <c r="L37" s="73"/>
    </row>
    <row r="38" spans="1:12" ht="13.8" x14ac:dyDescent="0.25">
      <c r="A38" s="16" t="s">
        <v>42</v>
      </c>
      <c r="B38" s="57">
        <v>68.14</v>
      </c>
      <c r="C38" s="57">
        <v>105.1</v>
      </c>
      <c r="D38" s="57">
        <v>92.3</v>
      </c>
      <c r="E38" s="57">
        <v>74.05</v>
      </c>
      <c r="F38" s="57">
        <v>101</v>
      </c>
      <c r="G38" s="57">
        <v>60</v>
      </c>
      <c r="H38" s="57" t="s">
        <v>75</v>
      </c>
      <c r="I38" s="57">
        <v>84</v>
      </c>
      <c r="K38" s="73"/>
      <c r="L38" s="73"/>
    </row>
    <row r="39" spans="1:12" ht="13.8" x14ac:dyDescent="0.25">
      <c r="A39" s="16" t="s">
        <v>43</v>
      </c>
      <c r="B39" s="57">
        <v>66</v>
      </c>
      <c r="C39" s="57">
        <v>102.1875</v>
      </c>
      <c r="D39" s="57">
        <v>85.75</v>
      </c>
      <c r="E39" s="57">
        <v>71.1875</v>
      </c>
      <c r="F39" s="57">
        <v>95.375</v>
      </c>
      <c r="G39" s="57">
        <v>61</v>
      </c>
      <c r="H39" s="57">
        <v>87</v>
      </c>
      <c r="I39" s="57">
        <v>76.125</v>
      </c>
      <c r="K39" s="73"/>
      <c r="L39" s="73"/>
    </row>
    <row r="40" spans="1:12" ht="13.8" x14ac:dyDescent="0.25">
      <c r="A40" s="16" t="s">
        <v>44</v>
      </c>
      <c r="B40" s="57">
        <v>63.242500000000007</v>
      </c>
      <c r="C40" s="57">
        <v>100</v>
      </c>
      <c r="D40" s="57">
        <v>81.25</v>
      </c>
      <c r="E40" s="57">
        <v>68.25</v>
      </c>
      <c r="F40" s="57">
        <v>88</v>
      </c>
      <c r="G40" s="57" t="s">
        <v>75</v>
      </c>
      <c r="H40" s="57" t="s">
        <v>75</v>
      </c>
      <c r="I40" s="57">
        <v>63.95</v>
      </c>
      <c r="J40" s="73"/>
      <c r="K40" s="73"/>
      <c r="L40" s="73"/>
    </row>
    <row r="41" spans="1:12" ht="13.8" x14ac:dyDescent="0.25">
      <c r="A41" s="16" t="s">
        <v>46</v>
      </c>
      <c r="B41" s="57">
        <v>58.83</v>
      </c>
      <c r="C41" s="57">
        <v>96.55</v>
      </c>
      <c r="D41" s="57">
        <v>76.599999999999994</v>
      </c>
      <c r="E41" s="57">
        <v>64.599999999999994</v>
      </c>
      <c r="F41" s="57">
        <v>84.4</v>
      </c>
      <c r="G41" s="57" t="s">
        <v>75</v>
      </c>
      <c r="H41" s="57" t="s">
        <v>75</v>
      </c>
      <c r="I41" s="57">
        <v>66.25</v>
      </c>
      <c r="J41" s="73"/>
      <c r="K41" s="73"/>
      <c r="L41" s="73"/>
    </row>
    <row r="42" spans="1:12" ht="13.8" x14ac:dyDescent="0.25">
      <c r="A42" s="16" t="s">
        <v>47</v>
      </c>
      <c r="B42" s="57">
        <v>55.474999999999994</v>
      </c>
      <c r="C42" s="57">
        <v>92.5625</v>
      </c>
      <c r="D42" s="57">
        <v>73</v>
      </c>
      <c r="E42" s="57">
        <v>62.625</v>
      </c>
      <c r="F42" s="57">
        <v>81.75</v>
      </c>
      <c r="G42" s="57" t="s">
        <v>75</v>
      </c>
      <c r="H42" s="57">
        <v>82</v>
      </c>
      <c r="I42" s="57" t="s">
        <v>75</v>
      </c>
      <c r="J42" s="73"/>
      <c r="K42" s="73"/>
      <c r="L42" s="73"/>
    </row>
    <row r="43" spans="1:12" ht="13.8" x14ac:dyDescent="0.25">
      <c r="A43" s="16" t="s">
        <v>48</v>
      </c>
      <c r="B43" s="57">
        <v>52.484999999999999</v>
      </c>
      <c r="C43" s="57">
        <v>91.75</v>
      </c>
      <c r="D43" s="57">
        <v>68.625</v>
      </c>
      <c r="E43" s="57">
        <v>62.125</v>
      </c>
      <c r="F43" s="57">
        <v>85.5</v>
      </c>
      <c r="G43" s="57">
        <v>52</v>
      </c>
      <c r="H43" s="57" t="s">
        <v>75</v>
      </c>
      <c r="I43" s="57" t="s">
        <v>75</v>
      </c>
      <c r="K43" s="73"/>
      <c r="L43" s="73"/>
    </row>
    <row r="44" spans="1:12" ht="13.8" x14ac:dyDescent="0.25">
      <c r="A44" s="15" t="s">
        <v>50</v>
      </c>
      <c r="B44" s="14">
        <v>60.007999999999996</v>
      </c>
      <c r="C44" s="14">
        <v>97.85</v>
      </c>
      <c r="D44" s="14">
        <v>67</v>
      </c>
      <c r="E44" s="14">
        <v>71.849999999999994</v>
      </c>
      <c r="F44" s="14">
        <v>89.6</v>
      </c>
      <c r="G44" s="14" t="s">
        <v>75</v>
      </c>
      <c r="H44" s="14">
        <v>80</v>
      </c>
      <c r="I44" s="14">
        <v>74.59</v>
      </c>
      <c r="J44" s="57"/>
      <c r="K44" s="73"/>
      <c r="L44" s="73"/>
    </row>
    <row r="45" spans="1:12" ht="16.2" x14ac:dyDescent="0.25">
      <c r="A45" s="49" t="s">
        <v>134</v>
      </c>
      <c r="B45" s="71"/>
      <c r="C45" s="71"/>
      <c r="D45" s="71"/>
      <c r="E45" s="71"/>
      <c r="F45" s="71"/>
      <c r="G45" s="71"/>
      <c r="H45" s="71"/>
      <c r="I45" s="71"/>
    </row>
    <row r="46" spans="1:12" ht="16.2" x14ac:dyDescent="0.25">
      <c r="A46" s="16" t="s">
        <v>135</v>
      </c>
      <c r="B46" s="71"/>
      <c r="C46" s="71"/>
      <c r="D46" s="71"/>
      <c r="E46" s="71"/>
      <c r="F46" s="71"/>
      <c r="G46" s="71"/>
      <c r="H46" s="71"/>
      <c r="I46" s="71"/>
    </row>
    <row r="47" spans="1:12" ht="14.4" x14ac:dyDescent="0.3">
      <c r="A47" s="16" t="s">
        <v>152</v>
      </c>
      <c r="B47" s="16"/>
      <c r="C47" s="16"/>
      <c r="D47" s="16"/>
      <c r="E47" s="16"/>
      <c r="F47" s="71"/>
      <c r="G47" s="16"/>
      <c r="H47" s="16"/>
      <c r="I47" s="16"/>
    </row>
    <row r="48" spans="1:12" ht="13.8" x14ac:dyDescent="0.25">
      <c r="A48" s="21" t="s">
        <v>56</v>
      </c>
      <c r="B48" s="43">
        <f>Contents!A16</f>
        <v>45121</v>
      </c>
      <c r="C48" s="16"/>
      <c r="D48" s="16"/>
      <c r="E48" s="16"/>
      <c r="F48" s="16"/>
      <c r="G48" s="16"/>
      <c r="H48" s="16"/>
      <c r="I48" s="16"/>
    </row>
    <row r="49" spans="2:9" ht="15.6" x14ac:dyDescent="0.3">
      <c r="C49" s="72"/>
      <c r="G49" s="72"/>
      <c r="H49" s="72"/>
      <c r="I49" s="72"/>
    </row>
    <row r="50" spans="2:9" ht="15.6" x14ac:dyDescent="0.3">
      <c r="B50" s="73"/>
      <c r="C50" s="73"/>
      <c r="D50" s="73"/>
      <c r="E50" s="73"/>
      <c r="F50" s="73"/>
      <c r="G50" s="73"/>
      <c r="H50" s="72"/>
      <c r="I50" s="72"/>
    </row>
    <row r="51" spans="2:9" ht="15.6" x14ac:dyDescent="0.3">
      <c r="B51" s="110"/>
      <c r="C51" s="110"/>
      <c r="D51" s="110"/>
      <c r="E51" s="110"/>
      <c r="F51" s="110"/>
      <c r="G51" s="110"/>
      <c r="H51" s="72"/>
      <c r="I51" s="72"/>
    </row>
    <row r="52" spans="2:9" ht="15.6" x14ac:dyDescent="0.3">
      <c r="C52" s="72"/>
      <c r="G52" s="72"/>
      <c r="H52" s="72"/>
      <c r="I52" s="72"/>
    </row>
    <row r="53" spans="2:9" ht="15.6" x14ac:dyDescent="0.3">
      <c r="C53" s="72"/>
      <c r="G53" s="72"/>
      <c r="H53" s="72"/>
      <c r="I53" s="72"/>
    </row>
    <row r="54" spans="2:9" ht="15.6" x14ac:dyDescent="0.3">
      <c r="C54" s="72"/>
      <c r="G54" s="72"/>
      <c r="H54" s="72"/>
      <c r="I54" s="72"/>
    </row>
    <row r="55" spans="2:9" ht="15.6" x14ac:dyDescent="0.3">
      <c r="C55" s="72"/>
      <c r="G55" s="72"/>
      <c r="H55" s="72"/>
      <c r="I55" s="72"/>
    </row>
    <row r="56" spans="2:9" ht="15.6" x14ac:dyDescent="0.3">
      <c r="C56" s="72"/>
      <c r="G56" s="72"/>
      <c r="H56" s="72"/>
      <c r="I56" s="72"/>
    </row>
    <row r="57" spans="2:9" ht="15.6" x14ac:dyDescent="0.3">
      <c r="C57" s="72"/>
      <c r="G57" s="72"/>
      <c r="H57" s="72"/>
      <c r="I57" s="72"/>
    </row>
    <row r="58" spans="2:9" ht="15.6" x14ac:dyDescent="0.3">
      <c r="C58" s="72"/>
      <c r="G58" s="72"/>
      <c r="H58" s="72"/>
      <c r="I58" s="72"/>
    </row>
    <row r="59" spans="2:9" ht="15.6" x14ac:dyDescent="0.3">
      <c r="C59" s="72"/>
      <c r="G59" s="72"/>
      <c r="H59" s="72"/>
      <c r="I59" s="72"/>
    </row>
    <row r="60" spans="2:9" ht="15.6" x14ac:dyDescent="0.3">
      <c r="C60" s="72"/>
      <c r="G60" s="72"/>
      <c r="H60" s="72"/>
      <c r="I60" s="72"/>
    </row>
    <row r="61" spans="2:9" ht="15.6" x14ac:dyDescent="0.3">
      <c r="C61" s="72"/>
      <c r="G61" s="72"/>
      <c r="H61" s="72"/>
      <c r="I61" s="72"/>
    </row>
    <row r="62" spans="2:9" ht="15.6" x14ac:dyDescent="0.3">
      <c r="C62" s="72"/>
      <c r="G62" s="72"/>
      <c r="H62" s="72"/>
      <c r="I62" s="72"/>
    </row>
    <row r="63" spans="2:9" ht="15.6" x14ac:dyDescent="0.3">
      <c r="C63" s="72"/>
      <c r="G63" s="72"/>
      <c r="H63" s="72"/>
      <c r="I63" s="72"/>
    </row>
    <row r="64" spans="2:9" ht="15.6" x14ac:dyDescent="0.3">
      <c r="C64" s="72"/>
      <c r="G64" s="72"/>
      <c r="H64" s="72"/>
      <c r="I64" s="72"/>
    </row>
    <row r="65" spans="3:9" ht="15.6" x14ac:dyDescent="0.3">
      <c r="C65" s="72"/>
      <c r="H65" s="72"/>
      <c r="I65" s="72"/>
    </row>
    <row r="66" spans="3:9" ht="15.6" x14ac:dyDescent="0.3">
      <c r="C66" s="72"/>
      <c r="H66" s="72"/>
      <c r="I66" s="72"/>
    </row>
    <row r="67" spans="3:9" ht="15.6" x14ac:dyDescent="0.3">
      <c r="C67" s="72"/>
      <c r="F67" s="73"/>
      <c r="H67" s="72"/>
      <c r="I67" s="72"/>
    </row>
    <row r="68" spans="3:9" ht="15.6" x14ac:dyDescent="0.3">
      <c r="F68" s="73"/>
      <c r="H68" s="72"/>
      <c r="I68" s="72"/>
    </row>
  </sheetData>
  <phoneticPr fontId="3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8"/>
  <sheetViews>
    <sheetView showGridLines="0" zoomScale="70" zoomScaleNormal="70" workbookViewId="0"/>
  </sheetViews>
  <sheetFormatPr defaultColWidth="9.109375" defaultRowHeight="13.2" x14ac:dyDescent="0.25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 x14ac:dyDescent="0.25">
      <c r="A1" s="15" t="s">
        <v>10</v>
      </c>
      <c r="B1" s="15"/>
      <c r="C1" s="15"/>
      <c r="D1" s="15"/>
      <c r="E1" s="15"/>
      <c r="F1" s="15"/>
      <c r="G1" s="15"/>
    </row>
    <row r="2" spans="1:28" ht="15.6" customHeight="1" x14ac:dyDescent="0.25">
      <c r="A2" s="16" t="s">
        <v>93</v>
      </c>
      <c r="B2" s="18" t="s">
        <v>118</v>
      </c>
      <c r="C2" s="74" t="s">
        <v>119</v>
      </c>
      <c r="D2" s="74" t="s">
        <v>120</v>
      </c>
      <c r="E2" s="74" t="s">
        <v>122</v>
      </c>
      <c r="F2" s="18" t="s">
        <v>136</v>
      </c>
      <c r="G2" s="18" t="s">
        <v>137</v>
      </c>
      <c r="AB2" s="75"/>
    </row>
    <row r="3" spans="1:28" ht="15.6" customHeight="1" x14ac:dyDescent="0.25">
      <c r="A3" s="15" t="s">
        <v>100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4" t="s">
        <v>143</v>
      </c>
      <c r="AB3" s="75"/>
    </row>
    <row r="4" spans="1:28" ht="14.4" x14ac:dyDescent="0.3">
      <c r="A4" s="67" t="s">
        <v>144</v>
      </c>
      <c r="C4" s="68"/>
      <c r="D4" s="68"/>
      <c r="E4" s="68"/>
      <c r="F4" s="68"/>
      <c r="G4" s="68"/>
      <c r="AB4" s="75"/>
    </row>
    <row r="5" spans="1:28" ht="13.8" x14ac:dyDescent="0.25">
      <c r="A5" s="16"/>
      <c r="B5" s="16"/>
      <c r="C5" s="16"/>
      <c r="D5" s="16"/>
      <c r="E5" s="16"/>
      <c r="F5" s="16"/>
      <c r="G5" s="16"/>
      <c r="AB5" s="75"/>
    </row>
    <row r="6" spans="1:28" ht="13.8" x14ac:dyDescent="0.25">
      <c r="A6" s="16" t="s">
        <v>105</v>
      </c>
      <c r="B6" s="70">
        <v>345.52</v>
      </c>
      <c r="C6" s="70">
        <v>273.83999999999997</v>
      </c>
      <c r="D6" s="70">
        <v>219.72</v>
      </c>
      <c r="E6" s="61" t="s">
        <v>75</v>
      </c>
      <c r="F6" s="70">
        <v>263.63</v>
      </c>
      <c r="G6" s="70">
        <v>240.65</v>
      </c>
      <c r="AB6" s="75"/>
    </row>
    <row r="7" spans="1:28" ht="13.8" x14ac:dyDescent="0.25">
      <c r="A7" s="16" t="s">
        <v>106</v>
      </c>
      <c r="B7" s="70">
        <v>393.53</v>
      </c>
      <c r="C7" s="70">
        <v>275.13</v>
      </c>
      <c r="D7" s="70">
        <v>246.75</v>
      </c>
      <c r="E7" s="61" t="s">
        <v>75</v>
      </c>
      <c r="F7" s="70">
        <v>307.58999999999997</v>
      </c>
      <c r="G7" s="70">
        <v>265.68</v>
      </c>
      <c r="AB7" s="75"/>
    </row>
    <row r="8" spans="1:28" ht="13.8" x14ac:dyDescent="0.25">
      <c r="A8" s="16" t="s">
        <v>107</v>
      </c>
      <c r="B8" s="70">
        <v>468.11</v>
      </c>
      <c r="C8" s="70">
        <v>331.52</v>
      </c>
      <c r="D8" s="70">
        <v>241.57</v>
      </c>
      <c r="E8" s="61" t="s">
        <v>75</v>
      </c>
      <c r="F8" s="70">
        <v>354.22</v>
      </c>
      <c r="G8" s="70">
        <v>329.31</v>
      </c>
      <c r="AB8" s="75"/>
    </row>
    <row r="9" spans="1:28" ht="13.8" x14ac:dyDescent="0.25">
      <c r="A9" s="16" t="s">
        <v>108</v>
      </c>
      <c r="B9" s="70">
        <v>489.94</v>
      </c>
      <c r="C9" s="70">
        <v>377.71</v>
      </c>
      <c r="D9" s="70">
        <v>238.87</v>
      </c>
      <c r="E9" s="61" t="s">
        <v>75</v>
      </c>
      <c r="F9" s="70">
        <v>359.7</v>
      </c>
      <c r="G9" s="70">
        <v>337.23</v>
      </c>
      <c r="AB9" s="75"/>
    </row>
    <row r="10" spans="1:28" ht="13.8" x14ac:dyDescent="0.25">
      <c r="A10" s="16" t="s">
        <v>109</v>
      </c>
      <c r="B10" s="70">
        <v>368.49</v>
      </c>
      <c r="C10" s="70">
        <v>304.27</v>
      </c>
      <c r="D10" s="70">
        <v>209.97</v>
      </c>
      <c r="E10" s="61" t="s">
        <v>75</v>
      </c>
      <c r="F10" s="70">
        <v>301.2</v>
      </c>
      <c r="G10" s="70">
        <v>256.58</v>
      </c>
      <c r="AB10" s="75"/>
    </row>
    <row r="11" spans="1:28" ht="13.8" x14ac:dyDescent="0.25">
      <c r="A11" s="16" t="s">
        <v>110</v>
      </c>
      <c r="B11" s="70">
        <v>324.56</v>
      </c>
      <c r="C11" s="70">
        <v>261.19</v>
      </c>
      <c r="D11" s="70">
        <v>153.16999999999999</v>
      </c>
      <c r="E11" s="61" t="s">
        <v>75</v>
      </c>
      <c r="F11" s="70">
        <v>262.2</v>
      </c>
      <c r="G11" s="70">
        <v>260.23</v>
      </c>
      <c r="AB11" s="75"/>
    </row>
    <row r="12" spans="1:28" ht="13.8" x14ac:dyDescent="0.25">
      <c r="A12" s="16" t="s">
        <v>111</v>
      </c>
      <c r="B12" s="70">
        <v>316.88</v>
      </c>
      <c r="C12" s="70">
        <v>208.61</v>
      </c>
      <c r="D12" s="70">
        <v>145.1</v>
      </c>
      <c r="E12" s="61" t="s">
        <v>75</v>
      </c>
      <c r="F12" s="70">
        <v>267.94</v>
      </c>
      <c r="G12" s="70">
        <v>282.49</v>
      </c>
      <c r="AB12" s="75"/>
    </row>
    <row r="13" spans="1:28" ht="13.8" x14ac:dyDescent="0.25">
      <c r="A13" s="16" t="s">
        <v>112</v>
      </c>
      <c r="B13" s="70">
        <v>345.02</v>
      </c>
      <c r="C13" s="70">
        <v>260.88</v>
      </c>
      <c r="D13" s="70">
        <v>173.53</v>
      </c>
      <c r="E13" s="61" t="s">
        <v>75</v>
      </c>
      <c r="F13" s="70">
        <v>291.14999999999998</v>
      </c>
      <c r="G13" s="70">
        <v>239.15</v>
      </c>
    </row>
    <row r="14" spans="1:28" ht="13.8" x14ac:dyDescent="0.25">
      <c r="A14" s="16" t="s">
        <v>113</v>
      </c>
      <c r="B14" s="70">
        <v>308.27999999999997</v>
      </c>
      <c r="C14" s="70">
        <v>228.64</v>
      </c>
      <c r="D14" s="70">
        <v>164.16</v>
      </c>
      <c r="E14" s="61" t="s">
        <v>75</v>
      </c>
      <c r="F14" s="70">
        <v>272.38</v>
      </c>
      <c r="G14" s="70">
        <v>225.77</v>
      </c>
    </row>
    <row r="15" spans="1:28" ht="13.8" x14ac:dyDescent="0.25">
      <c r="A15" s="16" t="s">
        <v>114</v>
      </c>
      <c r="B15" s="70">
        <v>299.5</v>
      </c>
      <c r="C15" s="70">
        <v>247.04</v>
      </c>
      <c r="D15" s="70">
        <v>187.7</v>
      </c>
      <c r="E15" s="61" t="s">
        <v>75</v>
      </c>
      <c r="F15" s="70">
        <v>273.99</v>
      </c>
      <c r="G15" s="70">
        <v>245.88</v>
      </c>
    </row>
    <row r="16" spans="1:28" ht="13.8" x14ac:dyDescent="0.25">
      <c r="A16" s="16" t="s">
        <v>34</v>
      </c>
      <c r="B16" s="70">
        <v>392.31</v>
      </c>
      <c r="C16" s="70">
        <v>375.51</v>
      </c>
      <c r="D16" s="122">
        <v>246.22</v>
      </c>
      <c r="E16" s="61" t="s">
        <v>75</v>
      </c>
      <c r="F16" s="70">
        <v>351.87</v>
      </c>
      <c r="G16" s="70">
        <v>288.12</v>
      </c>
    </row>
    <row r="17" spans="1:13" ht="13.8" x14ac:dyDescent="0.25">
      <c r="A17" s="16" t="s">
        <v>37</v>
      </c>
      <c r="B17" s="70">
        <v>439.81</v>
      </c>
      <c r="C17" s="70">
        <v>355.33</v>
      </c>
      <c r="D17" s="70">
        <v>279.98</v>
      </c>
      <c r="E17" s="61" t="s">
        <v>75</v>
      </c>
      <c r="F17" s="70">
        <v>439.1</v>
      </c>
      <c r="G17" s="70">
        <v>332.21</v>
      </c>
    </row>
    <row r="18" spans="1:13" ht="16.2" x14ac:dyDescent="0.25">
      <c r="A18" s="16" t="s">
        <v>133</v>
      </c>
      <c r="B18" s="70">
        <v>450</v>
      </c>
      <c r="C18" s="70">
        <v>385</v>
      </c>
      <c r="D18" s="70">
        <v>260</v>
      </c>
      <c r="E18" s="61" t="s">
        <v>75</v>
      </c>
      <c r="F18" s="70">
        <v>425</v>
      </c>
      <c r="G18" s="122">
        <v>375</v>
      </c>
      <c r="I18" s="73"/>
    </row>
    <row r="19" spans="1:13" ht="16.2" x14ac:dyDescent="0.25">
      <c r="A19" s="16" t="s">
        <v>157</v>
      </c>
      <c r="B19" s="70">
        <v>375</v>
      </c>
      <c r="C19" s="70">
        <v>334</v>
      </c>
      <c r="D19" s="70">
        <v>225</v>
      </c>
      <c r="E19" s="61" t="s">
        <v>75</v>
      </c>
      <c r="F19" s="70">
        <v>335</v>
      </c>
      <c r="G19" s="122">
        <v>275</v>
      </c>
      <c r="I19" s="73"/>
    </row>
    <row r="20" spans="1:13" ht="15" x14ac:dyDescent="0.25">
      <c r="A20" s="16"/>
      <c r="B20" s="70"/>
      <c r="C20" s="70"/>
      <c r="D20" s="70"/>
      <c r="E20" s="61"/>
      <c r="F20" s="70"/>
      <c r="G20" s="70"/>
      <c r="I20" s="76"/>
      <c r="J20" s="77"/>
      <c r="K20" s="77"/>
      <c r="L20" s="77"/>
      <c r="M20" s="77"/>
    </row>
    <row r="21" spans="1:13" ht="13.8" x14ac:dyDescent="0.25">
      <c r="A21" s="36" t="s">
        <v>37</v>
      </c>
      <c r="B21" s="70"/>
      <c r="C21" s="70"/>
      <c r="D21" s="70"/>
      <c r="E21" s="57"/>
      <c r="F21" s="70"/>
      <c r="G21" s="70"/>
      <c r="H21" s="57"/>
    </row>
    <row r="22" spans="1:13" ht="13.8" x14ac:dyDescent="0.25">
      <c r="A22" s="16" t="s">
        <v>39</v>
      </c>
      <c r="B22" s="70">
        <v>325.43</v>
      </c>
      <c r="C22" s="70">
        <v>298.75</v>
      </c>
      <c r="D22" s="70">
        <v>222.5</v>
      </c>
      <c r="E22" s="61" t="s">
        <v>75</v>
      </c>
      <c r="F22" s="70">
        <v>322.82499999999999</v>
      </c>
      <c r="G22" s="70">
        <v>265.625</v>
      </c>
      <c r="H22" s="57"/>
      <c r="I22" s="73"/>
    </row>
    <row r="23" spans="1:13" ht="13.8" x14ac:dyDescent="0.25">
      <c r="A23" s="16" t="s">
        <v>40</v>
      </c>
      <c r="B23" s="70">
        <v>358.73</v>
      </c>
      <c r="C23" s="70">
        <v>304.5</v>
      </c>
      <c r="D23" s="70">
        <v>256.5</v>
      </c>
      <c r="E23" s="61" t="s">
        <v>75</v>
      </c>
      <c r="F23" s="70">
        <v>350.21999999999997</v>
      </c>
      <c r="G23" s="70">
        <v>252</v>
      </c>
      <c r="H23" s="57"/>
      <c r="I23" s="73"/>
    </row>
    <row r="24" spans="1:13" ht="13.8" x14ac:dyDescent="0.25">
      <c r="A24" s="16" t="s">
        <v>42</v>
      </c>
      <c r="B24" s="70">
        <v>399.53</v>
      </c>
      <c r="C24" s="70">
        <v>311.25</v>
      </c>
      <c r="D24" s="70">
        <v>289.16666666666669</v>
      </c>
      <c r="E24" s="61" t="s">
        <v>75</v>
      </c>
      <c r="F24" s="70">
        <v>382.9666666666667</v>
      </c>
      <c r="G24" s="70">
        <v>309.16666666666669</v>
      </c>
      <c r="H24" s="57"/>
      <c r="I24" s="73"/>
    </row>
    <row r="25" spans="1:13" ht="13.8" x14ac:dyDescent="0.25">
      <c r="A25" s="16" t="s">
        <v>145</v>
      </c>
      <c r="B25" s="70">
        <v>421.21</v>
      </c>
      <c r="C25" s="70">
        <v>318.125</v>
      </c>
      <c r="D25" s="70">
        <v>301.25</v>
      </c>
      <c r="E25" s="61" t="s">
        <v>75</v>
      </c>
      <c r="F25" s="70">
        <v>410.875</v>
      </c>
      <c r="G25" s="70">
        <v>326.25</v>
      </c>
      <c r="H25" s="57"/>
      <c r="I25" s="73"/>
    </row>
    <row r="26" spans="1:13" ht="13.8" x14ac:dyDescent="0.25">
      <c r="A26" s="16" t="s">
        <v>44</v>
      </c>
      <c r="B26" s="122">
        <v>460.45</v>
      </c>
      <c r="C26" s="70">
        <v>333.75</v>
      </c>
      <c r="D26" s="70">
        <v>320</v>
      </c>
      <c r="E26" s="61" t="s">
        <v>75</v>
      </c>
      <c r="F26" s="70">
        <v>454.625</v>
      </c>
      <c r="G26" s="70">
        <v>350</v>
      </c>
      <c r="H26" s="57"/>
      <c r="I26" s="73"/>
    </row>
    <row r="27" spans="1:13" ht="13.8" x14ac:dyDescent="0.25">
      <c r="A27" s="16" t="s">
        <v>46</v>
      </c>
      <c r="B27" s="122">
        <v>493.97500000000002</v>
      </c>
      <c r="C27" s="70">
        <v>345.625</v>
      </c>
      <c r="D27" s="70">
        <v>333.33300000000003</v>
      </c>
      <c r="E27" s="61" t="s">
        <v>75</v>
      </c>
      <c r="F27" s="70">
        <v>487.03750000000002</v>
      </c>
      <c r="G27" s="70">
        <v>392.5</v>
      </c>
      <c r="H27" s="57"/>
      <c r="I27" s="73"/>
    </row>
    <row r="28" spans="1:13" ht="13.8" x14ac:dyDescent="0.25">
      <c r="A28" s="16" t="s">
        <v>47</v>
      </c>
      <c r="B28" s="122">
        <v>475.35999999999996</v>
      </c>
      <c r="C28" s="70">
        <v>355</v>
      </c>
      <c r="D28" s="70">
        <v>321</v>
      </c>
      <c r="E28" s="61" t="s">
        <v>75</v>
      </c>
      <c r="F28" s="70">
        <v>470.77999999999992</v>
      </c>
      <c r="G28" s="70">
        <v>386</v>
      </c>
      <c r="H28" s="57"/>
      <c r="I28" s="73"/>
    </row>
    <row r="29" spans="1:13" ht="13.8" x14ac:dyDescent="0.25">
      <c r="A29" s="16" t="s">
        <v>48</v>
      </c>
      <c r="B29" s="122">
        <v>441.27499999999998</v>
      </c>
      <c r="C29" s="70">
        <v>388.75</v>
      </c>
      <c r="D29" s="70">
        <v>285.625</v>
      </c>
      <c r="E29" s="61" t="s">
        <v>75</v>
      </c>
      <c r="F29" s="70">
        <v>454.5</v>
      </c>
      <c r="G29" s="70">
        <v>351.25</v>
      </c>
      <c r="H29" s="57"/>
      <c r="I29" s="73"/>
    </row>
    <row r="30" spans="1:13" ht="13.8" x14ac:dyDescent="0.25">
      <c r="A30" s="16" t="s">
        <v>50</v>
      </c>
      <c r="B30" s="122">
        <v>445.92499999999995</v>
      </c>
      <c r="C30" s="70">
        <v>383.75</v>
      </c>
      <c r="D30" s="70">
        <v>281.875</v>
      </c>
      <c r="E30" s="61" t="s">
        <v>75</v>
      </c>
      <c r="F30" s="70">
        <v>478.17499999999995</v>
      </c>
      <c r="G30" s="70">
        <v>322.5</v>
      </c>
      <c r="H30" s="57"/>
      <c r="I30" s="73"/>
    </row>
    <row r="31" spans="1:13" ht="13.8" x14ac:dyDescent="0.25">
      <c r="A31" s="16" t="s">
        <v>51</v>
      </c>
      <c r="B31" s="122">
        <v>467.87</v>
      </c>
      <c r="C31" s="70">
        <v>369.5</v>
      </c>
      <c r="D31" s="70">
        <v>268.5</v>
      </c>
      <c r="E31" s="61" t="s">
        <v>75</v>
      </c>
      <c r="F31" s="70">
        <v>501.17999999999995</v>
      </c>
      <c r="G31" s="70">
        <v>351.5</v>
      </c>
      <c r="H31" s="57"/>
      <c r="I31" s="73"/>
    </row>
    <row r="32" spans="1:13" ht="13.8" x14ac:dyDescent="0.25">
      <c r="A32" s="16" t="s">
        <v>52</v>
      </c>
      <c r="B32" s="122">
        <v>510.90000000000009</v>
      </c>
      <c r="C32" s="70">
        <v>405</v>
      </c>
      <c r="D32" s="70">
        <v>255</v>
      </c>
      <c r="E32" s="61" t="s">
        <v>75</v>
      </c>
      <c r="F32" s="70">
        <v>521.52500000000009</v>
      </c>
      <c r="G32" s="70">
        <v>347.5</v>
      </c>
      <c r="H32" s="57"/>
      <c r="I32" s="73"/>
    </row>
    <row r="33" spans="1:10" ht="13.8" x14ac:dyDescent="0.25">
      <c r="A33" s="16" t="s">
        <v>38</v>
      </c>
      <c r="B33" s="122">
        <v>473.93999999999994</v>
      </c>
      <c r="C33" s="70">
        <v>450</v>
      </c>
      <c r="D33" s="70">
        <v>225</v>
      </c>
      <c r="E33" s="61" t="s">
        <v>75</v>
      </c>
      <c r="F33" s="70">
        <v>434.53999999999996</v>
      </c>
      <c r="G33" s="70" t="s">
        <v>75</v>
      </c>
      <c r="H33" s="57"/>
    </row>
    <row r="34" spans="1:10" ht="13.8" x14ac:dyDescent="0.25">
      <c r="A34" s="16"/>
      <c r="B34" s="122"/>
      <c r="C34" s="70"/>
      <c r="D34" s="70"/>
      <c r="E34" s="61"/>
      <c r="F34" s="70"/>
      <c r="G34" s="70"/>
      <c r="H34" s="57"/>
    </row>
    <row r="35" spans="1:10" ht="13.8" x14ac:dyDescent="0.25">
      <c r="A35" s="36" t="s">
        <v>54</v>
      </c>
      <c r="B35" s="122"/>
      <c r="C35" s="70"/>
      <c r="D35" s="70"/>
      <c r="E35" s="61"/>
      <c r="F35" s="70"/>
      <c r="G35" s="70"/>
      <c r="H35" s="57"/>
    </row>
    <row r="36" spans="1:10" ht="13.8" x14ac:dyDescent="0.25">
      <c r="A36" s="16" t="s">
        <v>39</v>
      </c>
      <c r="B36" s="122">
        <v>468.67499999999995</v>
      </c>
      <c r="C36" s="70">
        <v>451.875</v>
      </c>
      <c r="D36" s="70" t="s">
        <v>75</v>
      </c>
      <c r="E36" s="61" t="s">
        <v>75</v>
      </c>
      <c r="F36" s="70">
        <v>409.17499999999995</v>
      </c>
      <c r="G36" s="70" t="s">
        <v>75</v>
      </c>
      <c r="H36" s="57"/>
    </row>
    <row r="37" spans="1:10" ht="13.8" x14ac:dyDescent="0.25">
      <c r="A37" s="16" t="s">
        <v>40</v>
      </c>
      <c r="B37" s="122">
        <v>436.74999999999994</v>
      </c>
      <c r="C37" s="70">
        <v>405</v>
      </c>
      <c r="D37" s="70" t="s">
        <v>75</v>
      </c>
      <c r="E37" s="61" t="s">
        <v>75</v>
      </c>
      <c r="F37" s="70">
        <v>402.99999999999994</v>
      </c>
      <c r="G37" s="70">
        <v>357.5</v>
      </c>
      <c r="H37" s="57"/>
      <c r="I37" s="73"/>
    </row>
    <row r="38" spans="1:10" ht="13.8" x14ac:dyDescent="0.25">
      <c r="A38" s="16" t="s">
        <v>42</v>
      </c>
      <c r="B38" s="122">
        <v>462.85</v>
      </c>
      <c r="C38" s="70">
        <v>390.625</v>
      </c>
      <c r="D38" s="70">
        <v>200</v>
      </c>
      <c r="E38" s="61" t="s">
        <v>75</v>
      </c>
      <c r="F38" s="70">
        <v>437.09999999999997</v>
      </c>
      <c r="G38" s="70">
        <v>368.5</v>
      </c>
      <c r="H38" s="57"/>
      <c r="I38" s="73"/>
    </row>
    <row r="39" spans="1:10" ht="13.8" x14ac:dyDescent="0.25">
      <c r="A39" s="16" t="s">
        <v>43</v>
      </c>
      <c r="B39" s="122">
        <v>482.40000000000003</v>
      </c>
      <c r="C39" s="70">
        <v>386.25</v>
      </c>
      <c r="D39" s="70">
        <v>355</v>
      </c>
      <c r="E39" s="61" t="s">
        <v>75</v>
      </c>
      <c r="F39" s="70">
        <v>474.02500000000003</v>
      </c>
      <c r="G39" s="70">
        <v>397.5</v>
      </c>
      <c r="I39" s="73"/>
    </row>
    <row r="40" spans="1:10" ht="13.8" x14ac:dyDescent="0.25">
      <c r="A40" s="16" t="s">
        <v>44</v>
      </c>
      <c r="B40" s="122">
        <v>500.52499999999998</v>
      </c>
      <c r="C40" s="70">
        <v>392.5</v>
      </c>
      <c r="D40" s="70">
        <v>336.25</v>
      </c>
      <c r="E40" s="61" t="s">
        <v>75</v>
      </c>
      <c r="F40" s="70">
        <v>501.02499999999998</v>
      </c>
      <c r="G40" s="70">
        <v>412.5</v>
      </c>
      <c r="I40" s="73"/>
    </row>
    <row r="41" spans="1:10" ht="13.8" x14ac:dyDescent="0.25">
      <c r="A41" s="16" t="s">
        <v>46</v>
      </c>
      <c r="B41" s="122">
        <v>484.4</v>
      </c>
      <c r="C41" s="70">
        <v>386.25</v>
      </c>
      <c r="D41" s="70">
        <v>308</v>
      </c>
      <c r="E41" s="61" t="s">
        <v>75</v>
      </c>
      <c r="F41" s="70">
        <v>466.6</v>
      </c>
      <c r="G41" s="70">
        <v>380.4</v>
      </c>
      <c r="I41" s="73"/>
    </row>
    <row r="42" spans="1:10" ht="13.8" x14ac:dyDescent="0.25">
      <c r="A42" s="16" t="s">
        <v>47</v>
      </c>
      <c r="B42" s="122">
        <v>457.25</v>
      </c>
      <c r="C42" s="70">
        <v>364.375</v>
      </c>
      <c r="D42" s="70">
        <v>252.5</v>
      </c>
      <c r="E42" s="61" t="s">
        <v>75</v>
      </c>
      <c r="F42" s="70">
        <v>434.75</v>
      </c>
      <c r="G42" s="70">
        <v>352.5</v>
      </c>
      <c r="I42" s="73"/>
    </row>
    <row r="43" spans="1:10" ht="13.8" x14ac:dyDescent="0.25">
      <c r="A43" s="16" t="s">
        <v>48</v>
      </c>
      <c r="B43" s="122">
        <v>423.57499999999999</v>
      </c>
      <c r="C43" s="70">
        <v>370.625</v>
      </c>
      <c r="D43" s="70">
        <v>237.5</v>
      </c>
      <c r="E43" s="61" t="s">
        <v>75</v>
      </c>
      <c r="F43" s="70">
        <v>407.02500000000003</v>
      </c>
      <c r="G43" s="70">
        <v>352.5</v>
      </c>
      <c r="I43" s="73"/>
    </row>
    <row r="44" spans="1:10" ht="13.8" x14ac:dyDescent="0.25">
      <c r="A44" s="15" t="s">
        <v>50</v>
      </c>
      <c r="B44" s="123">
        <v>413.46000000000004</v>
      </c>
      <c r="C44" s="121">
        <v>362.5</v>
      </c>
      <c r="D44" s="121">
        <v>208.00200000000001</v>
      </c>
      <c r="E44" s="103" t="s">
        <v>75</v>
      </c>
      <c r="F44" s="121">
        <v>405.06000000000006</v>
      </c>
      <c r="G44" s="121">
        <v>354</v>
      </c>
      <c r="I44" s="73"/>
    </row>
    <row r="45" spans="1:10" ht="16.2" x14ac:dyDescent="0.25">
      <c r="A45" s="49" t="s">
        <v>146</v>
      </c>
      <c r="B45" s="78"/>
      <c r="C45" s="78"/>
      <c r="D45" s="78"/>
      <c r="E45" s="78"/>
      <c r="F45" s="78"/>
      <c r="G45" s="78"/>
      <c r="I45" s="76"/>
    </row>
    <row r="46" spans="1:10" ht="16.2" x14ac:dyDescent="0.25">
      <c r="A46" s="49" t="s">
        <v>147</v>
      </c>
      <c r="B46" s="79"/>
      <c r="C46" s="79"/>
      <c r="D46" s="79"/>
      <c r="E46" s="79"/>
      <c r="F46" s="79"/>
      <c r="G46" s="79"/>
      <c r="I46" s="76"/>
      <c r="J46" s="76"/>
    </row>
    <row r="47" spans="1:10" ht="14.4" x14ac:dyDescent="0.3">
      <c r="A47" s="16" t="s">
        <v>153</v>
      </c>
      <c r="B47" s="16"/>
      <c r="C47" s="16"/>
      <c r="D47" s="16"/>
      <c r="E47" s="16"/>
      <c r="F47" s="79"/>
      <c r="G47" s="79"/>
      <c r="I47" s="76"/>
      <c r="J47" s="76"/>
    </row>
    <row r="48" spans="1:10" ht="13.8" x14ac:dyDescent="0.25">
      <c r="A48" s="21" t="s">
        <v>56</v>
      </c>
      <c r="B48" s="43">
        <f>Contents!A16</f>
        <v>45121</v>
      </c>
      <c r="C48" s="16"/>
      <c r="D48" s="16"/>
      <c r="E48" s="16"/>
      <c r="F48" s="79"/>
      <c r="G48" s="79"/>
      <c r="I48" s="80"/>
      <c r="J48" s="80"/>
    </row>
    <row r="49" spans="2:10" ht="13.8" x14ac:dyDescent="0.25">
      <c r="F49" s="79"/>
      <c r="G49" s="79"/>
      <c r="I49" s="80"/>
      <c r="J49" s="80"/>
    </row>
    <row r="50" spans="2:10" ht="13.8" x14ac:dyDescent="0.25">
      <c r="F50" s="79"/>
      <c r="G50" s="79"/>
      <c r="I50" s="76"/>
      <c r="J50" s="76"/>
    </row>
    <row r="51" spans="2:10" x14ac:dyDescent="0.25">
      <c r="B51" s="73"/>
      <c r="I51" s="76"/>
      <c r="J51" s="76"/>
    </row>
    <row r="52" spans="2:10" x14ac:dyDescent="0.25">
      <c r="I52" s="76"/>
      <c r="J52" s="76"/>
    </row>
    <row r="53" spans="2:10" x14ac:dyDescent="0.25">
      <c r="I53" s="76"/>
      <c r="J53" s="76"/>
    </row>
    <row r="54" spans="2:10" x14ac:dyDescent="0.25">
      <c r="I54" s="76"/>
      <c r="J54" s="76"/>
    </row>
    <row r="55" spans="2:10" x14ac:dyDescent="0.25">
      <c r="I55" s="76"/>
      <c r="J55" s="76"/>
    </row>
    <row r="57" spans="2:10" x14ac:dyDescent="0.25">
      <c r="I57" s="81"/>
      <c r="J57" s="81"/>
    </row>
    <row r="58" spans="2:10" x14ac:dyDescent="0.25">
      <c r="I58" s="81"/>
      <c r="J58" s="81"/>
    </row>
  </sheetData>
  <phoneticPr fontId="3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1D88-1822-4AB3-AC57-64A41C53E455}">
  <dimension ref="A1:D62"/>
  <sheetViews>
    <sheetView zoomScaleNormal="100" workbookViewId="0"/>
  </sheetViews>
  <sheetFormatPr defaultColWidth="9.109375" defaultRowHeight="13.2" x14ac:dyDescent="0.25"/>
  <cols>
    <col min="1" max="1" width="12.6640625" style="113" bestFit="1" customWidth="1"/>
    <col min="2" max="2" width="16.77734375" style="113" customWidth="1"/>
    <col min="4" max="16384" width="9.109375" style="113"/>
  </cols>
  <sheetData>
    <row r="1" spans="1:4" ht="52.8" x14ac:dyDescent="0.25">
      <c r="A1" s="119" t="s">
        <v>198</v>
      </c>
      <c r="B1" s="119" t="s">
        <v>197</v>
      </c>
    </row>
    <row r="2" spans="1:4" x14ac:dyDescent="0.25">
      <c r="A2" s="163" t="s">
        <v>181</v>
      </c>
      <c r="B2" s="155">
        <v>-150</v>
      </c>
      <c r="C2" s="126"/>
      <c r="D2" s="131"/>
    </row>
    <row r="3" spans="1:4" x14ac:dyDescent="0.25">
      <c r="A3" s="164" t="s">
        <v>182</v>
      </c>
      <c r="B3" s="155">
        <v>-800</v>
      </c>
      <c r="C3" s="120"/>
      <c r="D3" s="131"/>
    </row>
    <row r="4" spans="1:4" x14ac:dyDescent="0.25">
      <c r="A4" s="164" t="s">
        <v>183</v>
      </c>
      <c r="B4" s="155">
        <v>-100</v>
      </c>
      <c r="C4" s="120"/>
      <c r="D4" s="131"/>
    </row>
    <row r="5" spans="1:4" x14ac:dyDescent="0.25">
      <c r="A5" s="164" t="s">
        <v>184</v>
      </c>
      <c r="B5" s="155">
        <v>-400</v>
      </c>
      <c r="C5" s="120"/>
      <c r="D5" s="131"/>
    </row>
    <row r="6" spans="1:4" x14ac:dyDescent="0.25">
      <c r="A6" s="164" t="s">
        <v>185</v>
      </c>
      <c r="B6" s="155">
        <v>-350</v>
      </c>
      <c r="C6" s="120"/>
      <c r="D6" s="131"/>
    </row>
    <row r="7" spans="1:4" x14ac:dyDescent="0.25">
      <c r="A7" s="165" t="s">
        <v>186</v>
      </c>
      <c r="B7" s="155">
        <v>-50</v>
      </c>
      <c r="C7" s="117"/>
      <c r="D7" s="131"/>
    </row>
    <row r="8" spans="1:4" x14ac:dyDescent="0.25">
      <c r="A8" s="165" t="s">
        <v>187</v>
      </c>
      <c r="B8" s="155">
        <v>-50</v>
      </c>
      <c r="C8" s="117"/>
      <c r="D8" s="131"/>
    </row>
    <row r="9" spans="1:4" x14ac:dyDescent="0.25">
      <c r="A9" s="166" t="s">
        <v>188</v>
      </c>
      <c r="B9" s="155">
        <v>-50</v>
      </c>
      <c r="C9" s="113"/>
    </row>
    <row r="10" spans="1:4" x14ac:dyDescent="0.25">
      <c r="A10" s="166" t="s">
        <v>189</v>
      </c>
      <c r="B10" s="156">
        <v>-50</v>
      </c>
      <c r="C10" s="113"/>
    </row>
    <row r="11" spans="1:4" x14ac:dyDescent="0.25">
      <c r="A11" s="166" t="s">
        <v>190</v>
      </c>
      <c r="B11" s="156">
        <v>-400</v>
      </c>
      <c r="C11" s="113"/>
    </row>
    <row r="12" spans="1:4" x14ac:dyDescent="0.25">
      <c r="A12" s="166" t="s">
        <v>191</v>
      </c>
      <c r="B12" s="156">
        <v>-250</v>
      </c>
      <c r="C12" s="113"/>
    </row>
    <row r="13" spans="1:4" x14ac:dyDescent="0.25">
      <c r="A13" s="166" t="s">
        <v>192</v>
      </c>
      <c r="B13" s="156">
        <v>-100</v>
      </c>
      <c r="C13" s="113"/>
    </row>
    <row r="14" spans="1:4" x14ac:dyDescent="0.25">
      <c r="A14" s="166" t="s">
        <v>193</v>
      </c>
      <c r="B14" s="156">
        <v>-900</v>
      </c>
      <c r="C14" s="113"/>
    </row>
    <row r="15" spans="1:4" x14ac:dyDescent="0.25">
      <c r="A15" s="166" t="s">
        <v>194</v>
      </c>
      <c r="B15" s="156">
        <v>-200</v>
      </c>
      <c r="C15" s="113"/>
    </row>
    <row r="16" spans="1:4" x14ac:dyDescent="0.25">
      <c r="A16" s="166" t="s">
        <v>195</v>
      </c>
      <c r="B16" s="156">
        <v>50</v>
      </c>
      <c r="C16" s="113"/>
    </row>
    <row r="17" spans="1:3" x14ac:dyDescent="0.25">
      <c r="A17" s="166" t="s">
        <v>196</v>
      </c>
      <c r="B17" s="113">
        <v>-200</v>
      </c>
      <c r="C17" s="113"/>
    </row>
    <row r="21" spans="1:3" x14ac:dyDescent="0.25">
      <c r="A21" s="126"/>
    </row>
    <row r="22" spans="1:3" x14ac:dyDescent="0.25">
      <c r="A22" s="126"/>
    </row>
    <row r="23" spans="1:3" x14ac:dyDescent="0.25">
      <c r="A23" s="126"/>
    </row>
    <row r="24" spans="1:3" x14ac:dyDescent="0.25">
      <c r="A24" s="120"/>
    </row>
    <row r="25" spans="1:3" x14ac:dyDescent="0.25">
      <c r="A25" s="120"/>
    </row>
    <row r="26" spans="1:3" x14ac:dyDescent="0.25">
      <c r="A26" s="120"/>
    </row>
    <row r="27" spans="1:3" x14ac:dyDescent="0.25">
      <c r="A27" s="120"/>
    </row>
    <row r="28" spans="1:3" x14ac:dyDescent="0.25">
      <c r="A28" s="120"/>
    </row>
    <row r="29" spans="1:3" x14ac:dyDescent="0.25">
      <c r="A29" s="117"/>
    </row>
    <row r="30" spans="1:3" x14ac:dyDescent="0.25">
      <c r="A30" s="117"/>
    </row>
    <row r="31" spans="1:3" x14ac:dyDescent="0.25">
      <c r="A31" s="117"/>
    </row>
    <row r="51" spans="1:4" x14ac:dyDescent="0.25">
      <c r="A51" s="126"/>
    </row>
    <row r="52" spans="1:4" x14ac:dyDescent="0.25">
      <c r="A52" s="126"/>
      <c r="B52" s="155"/>
      <c r="C52" s="114"/>
      <c r="D52" s="131"/>
    </row>
    <row r="53" spans="1:4" x14ac:dyDescent="0.25">
      <c r="A53" s="126"/>
      <c r="B53" s="155"/>
      <c r="C53" s="114"/>
      <c r="D53" s="131"/>
    </row>
    <row r="54" spans="1:4" x14ac:dyDescent="0.25">
      <c r="A54" s="120"/>
      <c r="B54" s="155"/>
    </row>
    <row r="55" spans="1:4" x14ac:dyDescent="0.25">
      <c r="B55" s="156"/>
    </row>
    <row r="56" spans="1:4" x14ac:dyDescent="0.25">
      <c r="B56" s="156"/>
    </row>
    <row r="57" spans="1:4" x14ac:dyDescent="0.25">
      <c r="A57" s="117"/>
      <c r="B57" s="155"/>
      <c r="C57" s="114"/>
      <c r="D57" s="131"/>
    </row>
    <row r="60" spans="1:4" x14ac:dyDescent="0.25">
      <c r="B60" s="156"/>
    </row>
    <row r="61" spans="1:4" x14ac:dyDescent="0.25">
      <c r="B61" s="156"/>
    </row>
    <row r="62" spans="1:4" x14ac:dyDescent="0.25">
      <c r="B62" s="156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818c5c2-d41f-4dce-801c-4e3595afcb3f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49de858-f9fd-4eb6-bcba-50396646711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 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Osman, Adrian - REE-ERS</cp:lastModifiedBy>
  <cp:revision/>
  <dcterms:created xsi:type="dcterms:W3CDTF">2001-11-13T16:22:15Z</dcterms:created>
  <dcterms:modified xsi:type="dcterms:W3CDTF">2023-07-14T12:34:22Z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