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2023/OCS-23H August 2023/"/>
    </mc:Choice>
  </mc:AlternateContent>
  <xr:revisionPtr revIDLastSave="157" documentId="13_ncr:1_{80CF6402-5AFB-49D0-B92F-62BC6CF8E088}" xr6:coauthVersionLast="47" xr6:coauthVersionMax="47" xr10:uidLastSave="{C80E26CF-903D-444C-A1E5-E91B89AEC66D}"/>
  <bookViews>
    <workbookView xWindow="28680" yWindow="-120" windowWidth="29040" windowHeight="15840" tabRatio="873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143" r:id="rId9"/>
    <sheet name="Figure 2" sheetId="138" r:id="rId10"/>
    <sheet name="Figure 3" sheetId="142" r:id="rId11"/>
  </sheets>
  <definedNames>
    <definedName name="_xlnm.Print_Area" localSheetId="1">'Table 1'!$A$1:$N$45</definedName>
    <definedName name="_xlnm.Print_Area" localSheetId="7">'Table 10'!$A$1:$G$47</definedName>
    <definedName name="_xlnm.Print_Area" localSheetId="2">'Table 2'!$A$1:$J$36</definedName>
    <definedName name="_xlnm.Print_Area" localSheetId="3">'Table 3'!$A$1:$L$49</definedName>
    <definedName name="_xlnm.Print_Area" localSheetId="5">'Table 8'!$A$1:$G$46</definedName>
    <definedName name="_xlnm.Print_Area" localSheetId="6">'Table 9'!$A$1:$I$48</definedName>
    <definedName name="_xlnm.Print_Area" localSheetId="4">'Tables 4-7'!$A$1:$O$52</definedName>
    <definedName name="WASDE_Updated" localSheetId="0">Contents!#REF!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5" l="1"/>
  <c r="G18" i="5"/>
  <c r="H18" i="5"/>
  <c r="G43" i="1"/>
  <c r="J43" i="1"/>
  <c r="H7" i="1"/>
  <c r="H41" i="1"/>
  <c r="G42" i="1"/>
  <c r="J42" i="1"/>
  <c r="L43" i="1"/>
  <c r="J8" i="2" l="1"/>
  <c r="D34" i="9" l="1"/>
  <c r="D34" i="2"/>
  <c r="J33" i="9"/>
  <c r="H34" i="2"/>
  <c r="J34" i="9"/>
  <c r="H33" i="2"/>
  <c r="L42" i="1"/>
  <c r="B34" i="9" l="1"/>
  <c r="B34" i="2"/>
  <c r="E34" i="2" s="1"/>
  <c r="I34" i="2" s="1"/>
  <c r="G34" i="2" s="1"/>
  <c r="I7" i="2"/>
  <c r="G7" i="9"/>
  <c r="K7" i="9" s="1"/>
  <c r="I32" i="3"/>
  <c r="J7" i="3"/>
  <c r="J8" i="3"/>
  <c r="I33" i="3"/>
  <c r="F46" i="3"/>
  <c r="H32" i="2"/>
  <c r="H31" i="2"/>
  <c r="H30" i="2"/>
  <c r="H29" i="2"/>
  <c r="H28" i="2"/>
  <c r="H27" i="2"/>
  <c r="H26" i="2"/>
  <c r="H23" i="2"/>
  <c r="H22" i="2"/>
  <c r="H21" i="2"/>
  <c r="H20" i="2"/>
  <c r="H19" i="2"/>
  <c r="H18" i="2"/>
  <c r="H14" i="2"/>
  <c r="H13" i="2"/>
  <c r="G11" i="1" l="1"/>
  <c r="L40" i="1"/>
  <c r="L39" i="1"/>
  <c r="L38" i="1"/>
  <c r="L36" i="1"/>
  <c r="L35" i="1"/>
  <c r="L34" i="1"/>
  <c r="L32" i="1"/>
  <c r="L31" i="1"/>
  <c r="L30" i="1"/>
  <c r="L27" i="1"/>
  <c r="L25" i="1"/>
  <c r="L24" i="1"/>
  <c r="L23" i="1"/>
  <c r="L21" i="1"/>
  <c r="L20" i="1"/>
  <c r="L19" i="1"/>
  <c r="L17" i="1"/>
  <c r="L16" i="1"/>
  <c r="L15" i="1"/>
  <c r="L13" i="1"/>
  <c r="L12" i="1"/>
  <c r="N45" i="3" l="1"/>
  <c r="I8" i="2" l="1"/>
  <c r="J28" i="9"/>
  <c r="J27" i="9"/>
  <c r="J26" i="9"/>
  <c r="J22" i="9"/>
  <c r="J21" i="9"/>
  <c r="J20" i="9"/>
  <c r="J19" i="9"/>
  <c r="J18" i="9"/>
  <c r="J17" i="9"/>
  <c r="J16" i="9"/>
  <c r="J15" i="9"/>
  <c r="J14" i="9"/>
  <c r="J13" i="9"/>
  <c r="J11" i="9"/>
  <c r="J23" i="9"/>
  <c r="G8" i="9"/>
  <c r="K8" i="9" s="1"/>
  <c r="D27" i="9" l="1"/>
  <c r="D26" i="9"/>
  <c r="D22" i="9"/>
  <c r="D21" i="9"/>
  <c r="D20" i="9"/>
  <c r="D19" i="9"/>
  <c r="D18" i="9"/>
  <c r="D17" i="9"/>
  <c r="D16" i="9"/>
  <c r="D15" i="9"/>
  <c r="D14" i="9"/>
  <c r="D13" i="9"/>
  <c r="D23" i="9"/>
  <c r="D23" i="2"/>
  <c r="D28" i="2"/>
  <c r="D27" i="2"/>
  <c r="D26" i="2"/>
  <c r="D22" i="2"/>
  <c r="D21" i="2"/>
  <c r="D20" i="2"/>
  <c r="D19" i="2"/>
  <c r="D18" i="2"/>
  <c r="D17" i="2"/>
  <c r="D16" i="2"/>
  <c r="D15" i="2"/>
  <c r="D14" i="2"/>
  <c r="D11" i="2"/>
  <c r="H17" i="2"/>
  <c r="H16" i="2"/>
  <c r="H15" i="2"/>
  <c r="H12" i="2"/>
  <c r="H11" i="2"/>
  <c r="L11" i="1"/>
  <c r="D8" i="1"/>
  <c r="G27" i="1"/>
  <c r="G39" i="1"/>
  <c r="G34" i="1"/>
  <c r="G32" i="1"/>
  <c r="G31" i="1"/>
  <c r="G30" i="1"/>
  <c r="G25" i="1"/>
  <c r="G24" i="1"/>
  <c r="G23" i="1"/>
  <c r="G21" i="1"/>
  <c r="G20" i="1"/>
  <c r="G19" i="1"/>
  <c r="G17" i="1"/>
  <c r="G16" i="1"/>
  <c r="D33" i="9" l="1"/>
  <c r="D33" i="2" l="1"/>
  <c r="J40" i="1" l="1"/>
  <c r="G40" i="1"/>
  <c r="N41" i="1" l="1"/>
  <c r="N37" i="1"/>
  <c r="B33" i="9" l="1"/>
  <c r="E33" i="9" s="1"/>
  <c r="K33" i="9" s="1"/>
  <c r="G33" i="9" s="1"/>
  <c r="I33" i="9" s="1"/>
  <c r="B33" i="2"/>
  <c r="E33" i="2" s="1"/>
  <c r="I33" i="2" s="1"/>
  <c r="G33" i="2" s="1"/>
  <c r="J32" i="9" l="1"/>
  <c r="D32" i="9"/>
  <c r="D32" i="2"/>
  <c r="M8" i="1" l="1"/>
  <c r="M7" i="1"/>
  <c r="J39" i="1" l="1"/>
  <c r="B32" i="9"/>
  <c r="E32" i="9" s="1"/>
  <c r="K32" i="9" s="1"/>
  <c r="G32" i="9" s="1"/>
  <c r="I32" i="9" s="1"/>
  <c r="B32" i="2"/>
  <c r="E32" i="2" s="1"/>
  <c r="I32" i="2" s="1"/>
  <c r="G32" i="2" s="1"/>
  <c r="D31" i="9"/>
  <c r="D31" i="2"/>
  <c r="J31" i="9" l="1"/>
  <c r="G38" i="1" l="1"/>
  <c r="G41" i="1" s="1"/>
  <c r="L41" i="1" l="1"/>
  <c r="J38" i="1" l="1"/>
  <c r="J41" i="1" s="1"/>
  <c r="I21" i="3" l="1"/>
  <c r="B11" i="9"/>
  <c r="B11" i="2"/>
  <c r="E14" i="1"/>
  <c r="B31" i="9" l="1"/>
  <c r="E31" i="9" s="1"/>
  <c r="K31" i="9" s="1"/>
  <c r="G31" i="9" s="1"/>
  <c r="I31" i="9" s="1"/>
  <c r="B31" i="2"/>
  <c r="E31" i="2" s="1"/>
  <c r="I31" i="2" s="1"/>
  <c r="G31" i="2" s="1"/>
  <c r="D30" i="9" l="1"/>
  <c r="D30" i="2"/>
  <c r="J30" i="9" l="1"/>
  <c r="G36" i="1" l="1"/>
  <c r="E41" i="1" l="1"/>
  <c r="M41" i="1" s="1"/>
  <c r="K41" i="1" s="1"/>
  <c r="N33" i="1"/>
  <c r="E37" i="1" s="1"/>
  <c r="B30" i="9" l="1"/>
  <c r="E30" i="9" s="1"/>
  <c r="K30" i="9" s="1"/>
  <c r="G30" i="9" s="1"/>
  <c r="I30" i="9" s="1"/>
  <c r="B30" i="2"/>
  <c r="E30" i="2" s="1"/>
  <c r="I30" i="2" s="1"/>
  <c r="G30" i="2" s="1"/>
  <c r="J36" i="1"/>
  <c r="J29" i="9" l="1"/>
  <c r="D29" i="9"/>
  <c r="D29" i="2"/>
  <c r="G35" i="1"/>
  <c r="J35" i="1"/>
  <c r="J34" i="1"/>
  <c r="J32" i="1"/>
  <c r="J31" i="1"/>
  <c r="J30" i="1"/>
  <c r="J25" i="1"/>
  <c r="J24" i="1"/>
  <c r="J23" i="1"/>
  <c r="J21" i="1"/>
  <c r="J20" i="1"/>
  <c r="J19" i="1"/>
  <c r="J17" i="1"/>
  <c r="J16" i="1"/>
  <c r="B29" i="9"/>
  <c r="E29" i="9" s="1"/>
  <c r="K29" i="9" s="1"/>
  <c r="B29" i="2"/>
  <c r="E29" i="2" s="1"/>
  <c r="I29" i="2" s="1"/>
  <c r="G29" i="2" s="1"/>
  <c r="J37" i="1" l="1"/>
  <c r="G29" i="9"/>
  <c r="I29" i="9" s="1"/>
  <c r="G37" i="1"/>
  <c r="H37" i="1" s="1"/>
  <c r="M37" i="1" s="1"/>
  <c r="D28" i="9"/>
  <c r="L37" i="1"/>
  <c r="K37" i="1" l="1"/>
  <c r="B28" i="9"/>
  <c r="E28" i="9" s="1"/>
  <c r="K28" i="9" s="1"/>
  <c r="G28" i="9" s="1"/>
  <c r="I28" i="9" s="1"/>
  <c r="B28" i="2"/>
  <c r="E28" i="2" s="1"/>
  <c r="I28" i="2" s="1"/>
  <c r="G28" i="2" s="1"/>
  <c r="N26" i="1"/>
  <c r="F33" i="1"/>
  <c r="B27" i="9" l="1"/>
  <c r="E27" i="9" s="1"/>
  <c r="K27" i="9" s="1"/>
  <c r="G27" i="9" s="1"/>
  <c r="I27" i="9" s="1"/>
  <c r="B27" i="2"/>
  <c r="E27" i="2" s="1"/>
  <c r="I27" i="2" s="1"/>
  <c r="G27" i="2" s="1"/>
  <c r="B26" i="9" l="1"/>
  <c r="E26" i="9" s="1"/>
  <c r="K26" i="9" s="1"/>
  <c r="G26" i="9" s="1"/>
  <c r="I26" i="9" s="1"/>
  <c r="B26" i="2"/>
  <c r="E26" i="2" l="1"/>
  <c r="I26" i="2" s="1"/>
  <c r="G26" i="2" s="1"/>
  <c r="L6" i="1"/>
  <c r="G33" i="1"/>
  <c r="L33" i="1"/>
  <c r="E33" i="4" l="1"/>
  <c r="J33" i="1"/>
  <c r="L6" i="9" l="1"/>
  <c r="J6" i="9"/>
  <c r="H23" i="9"/>
  <c r="D6" i="9"/>
  <c r="C23" i="9"/>
  <c r="B22" i="9"/>
  <c r="E22" i="9" s="1"/>
  <c r="K22" i="9" s="1"/>
  <c r="J6" i="2"/>
  <c r="B22" i="2"/>
  <c r="E22" i="2" s="1"/>
  <c r="I22" i="2" s="1"/>
  <c r="G22" i="2" s="1"/>
  <c r="C23" i="2"/>
  <c r="C6" i="2" s="1"/>
  <c r="C6" i="9" l="1"/>
  <c r="G22" i="9"/>
  <c r="I22" i="9" s="1"/>
  <c r="B49" i="6" l="1"/>
  <c r="B49" i="5"/>
  <c r="B48" i="4"/>
  <c r="B50" i="3"/>
  <c r="B37" i="9"/>
  <c r="B37" i="2"/>
  <c r="B46" i="1"/>
  <c r="F14" i="1" l="1"/>
  <c r="G33" i="4" l="1"/>
  <c r="F33" i="4"/>
  <c r="D33" i="4"/>
  <c r="C33" i="4"/>
  <c r="B33" i="4"/>
  <c r="E26" i="1"/>
  <c r="F27" i="1"/>
  <c r="E33" i="1"/>
  <c r="B21" i="2"/>
  <c r="E21" i="2" s="1"/>
  <c r="I21" i="2" s="1"/>
  <c r="G21" i="2" s="1"/>
  <c r="B21" i="9"/>
  <c r="E21" i="9" s="1"/>
  <c r="K21" i="9" s="1"/>
  <c r="H33" i="1" l="1"/>
  <c r="M33" i="1" s="1"/>
  <c r="F6" i="1"/>
  <c r="H27" i="1"/>
  <c r="N6" i="1"/>
  <c r="E7" i="1" s="1"/>
  <c r="G21" i="9"/>
  <c r="K33" i="1" l="1"/>
  <c r="I21" i="9"/>
  <c r="B20" i="9" l="1"/>
  <c r="E20" i="9" s="1"/>
  <c r="K20" i="9" s="1"/>
  <c r="G20" i="9" s="1"/>
  <c r="I20" i="9" s="1"/>
  <c r="B20" i="2"/>
  <c r="E20" i="2" s="1"/>
  <c r="I20" i="2" s="1"/>
  <c r="G20" i="2" s="1"/>
  <c r="D45" i="3" l="1"/>
  <c r="H6" i="2" l="1"/>
  <c r="D13" i="2"/>
  <c r="D12" i="2"/>
  <c r="D6" i="2" l="1"/>
  <c r="D12" i="9"/>
  <c r="D11" i="9"/>
  <c r="J12" i="9" l="1"/>
  <c r="G26" i="1" l="1"/>
  <c r="G15" i="1"/>
  <c r="G13" i="1"/>
  <c r="G12" i="1"/>
  <c r="L26" i="1"/>
  <c r="H26" i="1" l="1"/>
  <c r="M26" i="1" s="1"/>
  <c r="J26" i="1"/>
  <c r="B19" i="9"/>
  <c r="E19" i="9" s="1"/>
  <c r="K19" i="9" s="1"/>
  <c r="G19" i="9" s="1"/>
  <c r="I19" i="9" s="1"/>
  <c r="B19" i="2"/>
  <c r="E19" i="2" s="1"/>
  <c r="I19" i="2" s="1"/>
  <c r="G19" i="2" s="1"/>
  <c r="K26" i="1" l="1"/>
  <c r="E22" i="1"/>
  <c r="B18" i="2"/>
  <c r="E18" i="2" s="1"/>
  <c r="I18" i="2" s="1"/>
  <c r="G18" i="2" s="1"/>
  <c r="B18" i="9"/>
  <c r="E18" i="9" s="1"/>
  <c r="K18" i="9" s="1"/>
  <c r="G18" i="9" s="1"/>
  <c r="I18" i="9" s="1"/>
  <c r="B17" i="9" l="1"/>
  <c r="E17" i="9" s="1"/>
  <c r="K17" i="9" s="1"/>
  <c r="G17" i="9" s="1"/>
  <c r="I17" i="9" s="1"/>
  <c r="B17" i="2"/>
  <c r="E17" i="2" s="1"/>
  <c r="I17" i="2" s="1"/>
  <c r="G17" i="2" s="1"/>
  <c r="E45" i="3" l="1"/>
  <c r="H45" i="3" s="1"/>
  <c r="B32" i="3"/>
  <c r="E32" i="3" s="1"/>
  <c r="J32" i="3" s="1"/>
  <c r="B20" i="3"/>
  <c r="E20" i="3" s="1"/>
  <c r="B7" i="3"/>
  <c r="E7" i="3" s="1"/>
  <c r="K7" i="3" s="1"/>
  <c r="B8" i="3" s="1"/>
  <c r="E8" i="3" s="1"/>
  <c r="K8" i="3" s="1"/>
  <c r="B7" i="9"/>
  <c r="E7" i="9" s="1"/>
  <c r="L7" i="9" s="1"/>
  <c r="B8" i="9" s="1"/>
  <c r="E8" i="9" s="1"/>
  <c r="L8" i="9" s="1"/>
  <c r="B7" i="2"/>
  <c r="E7" i="2" s="1"/>
  <c r="J7" i="2" s="1"/>
  <c r="B8" i="2" s="1"/>
  <c r="E8" i="2" s="1"/>
  <c r="D7" i="1"/>
  <c r="B16" i="9"/>
  <c r="B16" i="2"/>
  <c r="E16" i="2" s="1"/>
  <c r="I16" i="2" s="1"/>
  <c r="L22" i="1"/>
  <c r="J22" i="1"/>
  <c r="G22" i="1"/>
  <c r="H22" i="1" s="1"/>
  <c r="O45" i="3" l="1"/>
  <c r="E46" i="3" s="1"/>
  <c r="H46" i="3" s="1"/>
  <c r="I20" i="3"/>
  <c r="J20" i="3" s="1"/>
  <c r="B21" i="3" s="1"/>
  <c r="E21" i="3" s="1"/>
  <c r="J21" i="3" s="1"/>
  <c r="N7" i="1"/>
  <c r="E8" i="1" s="1"/>
  <c r="M22" i="1"/>
  <c r="K22" i="1" s="1"/>
  <c r="E16" i="9"/>
  <c r="K16" i="9" s="1"/>
  <c r="G16" i="9" s="1"/>
  <c r="I16" i="9" s="1"/>
  <c r="G16" i="2"/>
  <c r="B15" i="9"/>
  <c r="B15" i="2"/>
  <c r="E18" i="1"/>
  <c r="H8" i="1" l="1"/>
  <c r="N8" i="1" s="1"/>
  <c r="E15" i="9"/>
  <c r="K15" i="9" s="1"/>
  <c r="G15" i="9" s="1"/>
  <c r="I15" i="9" s="1"/>
  <c r="E15" i="2"/>
  <c r="I15" i="2" s="1"/>
  <c r="G15" i="2" s="1"/>
  <c r="B14" i="9" l="1"/>
  <c r="E14" i="9" s="1"/>
  <c r="K14" i="9" s="1"/>
  <c r="G14" i="9" s="1"/>
  <c r="I14" i="9" s="1"/>
  <c r="B14" i="2"/>
  <c r="E14" i="2" s="1"/>
  <c r="I14" i="2" s="1"/>
  <c r="G14" i="2" s="1"/>
  <c r="L18" i="1"/>
  <c r="G18" i="1"/>
  <c r="H18" i="1" s="1"/>
  <c r="M18" i="1" s="1"/>
  <c r="J15" i="1"/>
  <c r="J13" i="1"/>
  <c r="J18" i="1" l="1"/>
  <c r="K18" i="1" s="1"/>
  <c r="B13" i="9"/>
  <c r="E13" i="9" s="1"/>
  <c r="K13" i="9" s="1"/>
  <c r="G13" i="9" s="1"/>
  <c r="I13" i="9" s="1"/>
  <c r="B13" i="2"/>
  <c r="E13" i="2" s="1"/>
  <c r="I13" i="2" s="1"/>
  <c r="G13" i="2" s="1"/>
  <c r="B12" i="9" l="1"/>
  <c r="B12" i="2"/>
  <c r="E12" i="9" l="1"/>
  <c r="K12" i="9" s="1"/>
  <c r="G12" i="9" s="1"/>
  <c r="I12" i="9" s="1"/>
  <c r="E12" i="2"/>
  <c r="I12" i="2" s="1"/>
  <c r="G12" i="2" s="1"/>
  <c r="J12" i="1" l="1"/>
  <c r="E11" i="9" l="1"/>
  <c r="K11" i="9" s="1"/>
  <c r="E23" i="9"/>
  <c r="E6" i="9" s="1"/>
  <c r="E11" i="2"/>
  <c r="I11" i="2" s="1"/>
  <c r="E23" i="2"/>
  <c r="E6" i="2" s="1"/>
  <c r="G11" i="9" l="1"/>
  <c r="K23" i="9"/>
  <c r="G11" i="2"/>
  <c r="G23" i="2" s="1"/>
  <c r="G6" i="2" s="1"/>
  <c r="I23" i="2"/>
  <c r="I6" i="2" s="1"/>
  <c r="L14" i="1"/>
  <c r="G14" i="1"/>
  <c r="I11" i="9" l="1"/>
  <c r="I23" i="9" s="1"/>
  <c r="G23" i="9"/>
  <c r="G6" i="1"/>
  <c r="H14" i="1"/>
  <c r="M14" i="1" s="1"/>
  <c r="M27" i="1" s="1"/>
  <c r="J11" i="1"/>
  <c r="J14" i="1" s="1"/>
  <c r="J27" i="1" l="1"/>
  <c r="J6" i="1" s="1"/>
  <c r="K14" i="1"/>
  <c r="K27" i="1" s="1"/>
  <c r="D44" i="3" l="1"/>
  <c r="D6" i="1"/>
  <c r="K6" i="9" l="1"/>
  <c r="G6" i="9" s="1"/>
  <c r="I6" i="9" s="1"/>
  <c r="E6" i="3" l="1"/>
  <c r="J6" i="3" s="1"/>
  <c r="I6" i="3" s="1"/>
  <c r="E19" i="3"/>
  <c r="G19" i="3" s="1"/>
  <c r="I19" i="3" s="1"/>
  <c r="H44" i="3"/>
  <c r="N44" i="3" s="1"/>
  <c r="L44" i="3" s="1"/>
  <c r="E31" i="3" l="1"/>
  <c r="I31" i="3" s="1"/>
  <c r="G31" i="3" s="1"/>
  <c r="H6" i="1" l="1"/>
  <c r="M6" i="1" l="1"/>
  <c r="K6" i="1" s="1"/>
  <c r="N46" i="3" l="1"/>
  <c r="O46" i="3" s="1"/>
  <c r="B33" i="3" l="1"/>
  <c r="E33" i="3" s="1"/>
  <c r="J33" i="3" s="1"/>
  <c r="E34" i="9" l="1"/>
  <c r="K34" i="9" s="1"/>
  <c r="G34" i="9" s="1"/>
</calcChain>
</file>

<file path=xl/sharedStrings.xml><?xml version="1.0" encoding="utf-8"?>
<sst xmlns="http://schemas.openxmlformats.org/spreadsheetml/2006/main" count="559" uniqueCount="185">
  <si>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</si>
  <si>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</si>
  <si>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</si>
  <si>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</si>
  <si>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</si>
  <si>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</si>
  <si>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</si>
  <si>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</si>
  <si>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</si>
  <si>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</si>
  <si>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</si>
  <si>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Contact: Aaron M. Ates; Maria Bukowski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</si>
  <si>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</si>
  <si>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</si>
  <si>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</si>
  <si>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</si>
  <si>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</si>
  <si>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</si>
  <si>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</si>
  <si>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</si>
  <si>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</si>
  <si>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</si>
  <si>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</si>
  <si>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</si>
  <si>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</si>
  <si>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</si>
  <si>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</si>
  <si>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</si>
  <si>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</si>
  <si>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</si>
  <si>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</si>
  <si>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</si>
  <si>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</si>
  <si>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</si>
  <si>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2021/22</t>
  </si>
  <si>
    <r>
      <t>2022/23</t>
    </r>
    <r>
      <rPr>
        <vertAlign val="superscript"/>
        <sz val="11"/>
        <rFont val="Arial"/>
        <family val="2"/>
      </rPr>
      <t>1</t>
    </r>
  </si>
  <si>
    <r>
      <t>2023/24</t>
    </r>
    <r>
      <rPr>
        <vertAlign val="superscript"/>
        <sz val="11"/>
        <rFont val="Arial"/>
        <family val="2"/>
      </rPr>
      <t>2</t>
    </r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</si>
  <si>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</si>
  <si>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</si>
  <si>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</si>
  <si>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</si>
  <si>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</si>
  <si>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</si>
  <si>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</si>
  <si>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</si>
  <si>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</si>
  <si>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</si>
  <si>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</si>
  <si>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 March–May</t>
  </si>
  <si>
    <t>June</t>
  </si>
  <si>
    <t>July</t>
  </si>
  <si>
    <t>August</t>
  </si>
  <si>
    <t xml:space="preserve">  June–August</t>
  </si>
  <si>
    <t>2022/23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</si>
  <si>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36.744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</si>
  <si>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</si>
  <si>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</si>
  <si>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</si>
  <si>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</si>
  <si>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</si>
  <si>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</si>
  <si>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</si>
  <si>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</si>
  <si>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</si>
  <si>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</si>
  <si>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</si>
  <si>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</si>
  <si>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</si>
  <si>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</si>
  <si>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</si>
  <si>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</si>
  <si>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</si>
  <si>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</si>
  <si>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</si>
  <si>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</si>
  <si>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r>
      <t>2021/22</t>
    </r>
    <r>
      <rPr>
        <vertAlign val="superscript"/>
        <sz val="11"/>
        <rFont val="Arial"/>
        <family val="2"/>
      </rPr>
      <t>1</t>
    </r>
  </si>
  <si>
    <r>
      <t>2022/23</t>
    </r>
    <r>
      <rPr>
        <vertAlign val="superscript"/>
        <sz val="11"/>
        <rFont val="Arial"/>
        <family val="2"/>
      </rPr>
      <t>2</t>
    </r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</si>
  <si>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</si>
  <si>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</si>
  <si>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</si>
  <si>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</si>
  <si>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</si>
  <si>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</si>
  <si>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</si>
  <si>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</si>
  <si>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</si>
  <si>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</si>
  <si>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</si>
  <si>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</si>
  <si>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</si>
  <si>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</si>
  <si>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</si>
  <si>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Supply,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</si>
  <si>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 xml:space="preserve">food </t>
  </si>
  <si>
    <t>1,000 acres</t>
  </si>
  <si>
    <t>Pounds/acre</t>
  </si>
  <si>
    <t xml:space="preserve">      Million pounds</t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</si>
  <si>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</si>
  <si>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</si>
  <si>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</si>
  <si>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</si>
  <si>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</si>
  <si>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</si>
  <si>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</si>
  <si>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</si>
  <si>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</si>
  <si>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</si>
  <si>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</si>
  <si>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</si>
  <si>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</si>
  <si>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</si>
  <si>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</si>
  <si>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</si>
  <si>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</si>
  <si>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</si>
  <si>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</si>
  <si>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</si>
  <si>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</si>
  <si>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</si>
  <si>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</si>
  <si>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</si>
  <si>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r>
      <t>2022/23</t>
    </r>
    <r>
      <rPr>
        <vertAlign val="superscript"/>
        <sz val="11"/>
        <rFont val="Arial"/>
        <family val="2"/>
      </rPr>
      <t>4</t>
    </r>
  </si>
  <si>
    <r>
      <t>2023/24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</si>
  <si>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</si>
  <si>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</si>
  <si>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</si>
  <si>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</si>
  <si>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</si>
  <si>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</si>
  <si>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</si>
  <si>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</si>
  <si>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</si>
  <si>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</si>
  <si>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</si>
  <si>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</si>
  <si>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</si>
  <si>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</si>
  <si>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</si>
  <si>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</si>
  <si>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</si>
  <si>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2022/23</t>
    </r>
    <r>
      <rPr>
        <vertAlign val="superscript"/>
        <sz val="11"/>
        <rFont val="Arial"/>
        <family val="2"/>
      </rPr>
      <t>7</t>
    </r>
  </si>
  <si>
    <r>
      <t>2023/24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</si>
  <si>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</si>
  <si>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</si>
  <si>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</si>
  <si>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</si>
  <si>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</si>
  <si>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</si>
  <si>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</si>
  <si>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</si>
  <si>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</si>
  <si>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</si>
  <si>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</si>
  <si>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</si>
  <si>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t xml:space="preserve">January 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</si>
  <si>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</si>
  <si>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</si>
  <si>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</si>
  <si>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t>Marketing year</t>
  </si>
  <si>
    <t>2023/24*</t>
  </si>
  <si>
    <t>Delta</t>
  </si>
  <si>
    <t>Eastern Corn Belt</t>
  </si>
  <si>
    <t>Western Corn Belt</t>
  </si>
  <si>
    <t>Central Plains</t>
  </si>
  <si>
    <t>Northern Plains</t>
  </si>
  <si>
    <t>Other</t>
  </si>
  <si>
    <t>Alabama</t>
  </si>
  <si>
    <t>Florida</t>
  </si>
  <si>
    <t>Georgia</t>
  </si>
  <si>
    <t>North Carolina</t>
  </si>
  <si>
    <t>South Carolina</t>
  </si>
  <si>
    <t>Texas</t>
  </si>
  <si>
    <t>Export price</t>
  </si>
  <si>
    <t>Date</t>
  </si>
  <si>
    <t>Aug.</t>
  </si>
  <si>
    <t>Sep.</t>
  </si>
  <si>
    <t>Oct.</t>
  </si>
  <si>
    <t>Nov.</t>
  </si>
  <si>
    <t>Dec.</t>
  </si>
  <si>
    <t>Jan.</t>
  </si>
  <si>
    <t>Feb.</t>
  </si>
  <si>
    <t>Mar.</t>
  </si>
  <si>
    <t>Apr.</t>
  </si>
  <si>
    <t>Jun.</t>
  </si>
  <si>
    <t>Jul.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</si>
</sst>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0.0%"/>
    <numFmt numFmtId="173" formatCode="#,##0.0000"/>
    <numFmt numFmtId="174" formatCode="#,##0.0_);\(#,##0.0\)"/>
    <numFmt numFmtId="175" formatCode="#,##0.000"/>
    <numFmt numFmtId="176" formatCode="0.000"/>
    <numFmt numFmtId="177" formatCode="[$-409]mmm\-yy;@"/>
    <numFmt numFmtId="178" formatCode="_(* #,##0.00_);_(* \(#,##0.00\);_(* &quot;-&quot;_);_(@_)"/>
    <numFmt numFmtId="179" formatCode="_(* #,##0.0_);_(* \(#,##0.0\);_(* &quot;-&quot;_);_(@_)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1" fillId="0" borderId="0"/>
    <xf numFmtId="0" fontId="31" fillId="0" borderId="0"/>
    <xf numFmtId="0" fontId="31" fillId="0" borderId="0"/>
    <xf numFmtId="0" fontId="42" fillId="0" borderId="0"/>
    <xf numFmtId="9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44" fillId="0" borderId="0"/>
    <xf numFmtId="0" fontId="29" fillId="0" borderId="0"/>
    <xf numFmtId="0" fontId="28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4" fontId="30" fillId="0" borderId="0" applyFon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43" fontId="17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171">
    <xf numFmtId="0" fontId="0" fillId="0" borderId="0" xfId="0"/>
    <xf numFmtId="0" fontId="31" fillId="0" borderId="0" xfId="8"/>
    <xf numFmtId="0" fontId="32" fillId="0" borderId="0" xfId="8" applyFont="1"/>
    <xf numFmtId="0" fontId="37" fillId="0" borderId="0" xfId="8" applyFont="1"/>
    <xf numFmtId="0" fontId="38" fillId="0" borderId="0" xfId="8" applyFont="1"/>
    <xf numFmtId="169" fontId="39" fillId="0" borderId="0" xfId="1" applyNumberFormat="1" applyFont="1" applyFill="1" applyBorder="1" applyAlignment="1">
      <alignment horizontal="center"/>
    </xf>
    <xf numFmtId="169" fontId="39" fillId="0" borderId="0" xfId="1" applyNumberFormat="1" applyFont="1" applyFill="1" applyBorder="1" applyAlignment="1">
      <alignment horizontal="right" indent="1"/>
    </xf>
    <xf numFmtId="0" fontId="45" fillId="0" borderId="0" xfId="7" applyFont="1" applyAlignment="1">
      <alignment horizontal="left"/>
    </xf>
    <xf numFmtId="0" fontId="46" fillId="0" borderId="0" xfId="5" applyFont="1" applyAlignment="1" applyProtection="1"/>
    <xf numFmtId="14" fontId="45" fillId="0" borderId="0" xfId="7" applyNumberFormat="1" applyFont="1" applyAlignment="1">
      <alignment horizontal="left"/>
    </xf>
    <xf numFmtId="0" fontId="46" fillId="0" borderId="0" xfId="4" applyFont="1" applyAlignment="1" applyProtection="1"/>
    <xf numFmtId="0" fontId="39" fillId="0" borderId="0" xfId="7" quotePrefix="1" applyFont="1" applyAlignment="1">
      <alignment horizontal="left"/>
    </xf>
    <xf numFmtId="0" fontId="39" fillId="0" borderId="0" xfId="8" applyFont="1" applyAlignment="1">
      <alignment wrapText="1"/>
    </xf>
    <xf numFmtId="169" fontId="39" fillId="0" borderId="0" xfId="1" applyNumberFormat="1" applyFont="1" applyFill="1" applyBorder="1" applyAlignment="1">
      <alignment horizontal="right"/>
    </xf>
    <xf numFmtId="0" fontId="39" fillId="0" borderId="1" xfId="0" applyFont="1" applyBorder="1"/>
    <xf numFmtId="0" fontId="39" fillId="0" borderId="0" xfId="0" applyFont="1"/>
    <xf numFmtId="0" fontId="39" fillId="0" borderId="2" xfId="0" applyFont="1" applyBorder="1" applyAlignment="1">
      <alignment horizontal="right"/>
    </xf>
    <xf numFmtId="0" fontId="39" fillId="0" borderId="0" xfId="0" applyFont="1" applyAlignment="1">
      <alignment horizontal="center"/>
    </xf>
    <xf numFmtId="0" fontId="0" fillId="0" borderId="2" xfId="0" applyBorder="1"/>
    <xf numFmtId="0" fontId="39" fillId="0" borderId="2" xfId="0" applyFont="1" applyBorder="1" applyAlignment="1">
      <alignment horizontal="left"/>
    </xf>
    <xf numFmtId="0" fontId="39" fillId="0" borderId="0" xfId="0" applyFont="1" applyAlignment="1">
      <alignment horizontal="right"/>
    </xf>
    <xf numFmtId="16" fontId="39" fillId="0" borderId="1" xfId="0" quotePrefix="1" applyNumberFormat="1" applyFont="1" applyBorder="1"/>
    <xf numFmtId="16" fontId="39" fillId="0" borderId="1" xfId="0" applyNumberFormat="1" applyFont="1" applyBorder="1"/>
    <xf numFmtId="0" fontId="39" fillId="0" borderId="1" xfId="0" applyFont="1" applyBorder="1" applyAlignment="1">
      <alignment horizontal="center"/>
    </xf>
    <xf numFmtId="0" fontId="39" fillId="0" borderId="1" xfId="0" applyFont="1" applyBorder="1" applyAlignment="1">
      <alignment horizontal="right"/>
    </xf>
    <xf numFmtId="0" fontId="39" fillId="0" borderId="1" xfId="0" applyFont="1" applyBorder="1" applyAlignment="1">
      <alignment horizontal="right" indent="1"/>
    </xf>
    <xf numFmtId="0" fontId="0" fillId="0" borderId="0" xfId="0" applyAlignment="1">
      <alignment horizontal="left" indent="1"/>
    </xf>
    <xf numFmtId="0" fontId="40" fillId="0" borderId="3" xfId="0" quotePrefix="1" applyFont="1" applyBorder="1" applyAlignment="1">
      <alignment horizontal="center"/>
    </xf>
    <xf numFmtId="0" fontId="40" fillId="0" borderId="0" xfId="0" quotePrefix="1" applyFont="1" applyAlignment="1">
      <alignment horizontal="right"/>
    </xf>
    <xf numFmtId="167" fontId="39" fillId="0" borderId="0" xfId="0" applyNumberFormat="1" applyFont="1" applyAlignment="1">
      <alignment horizontal="center"/>
    </xf>
    <xf numFmtId="165" fontId="39" fillId="0" borderId="0" xfId="1" applyNumberFormat="1" applyFont="1" applyFill="1" applyAlignment="1">
      <alignment horizontal="left"/>
    </xf>
    <xf numFmtId="165" fontId="39" fillId="0" borderId="0" xfId="1" applyNumberFormat="1" applyFont="1" applyFill="1" applyAlignment="1">
      <alignment horizontal="center"/>
    </xf>
    <xf numFmtId="3" fontId="39" fillId="0" borderId="0" xfId="1" applyNumberFormat="1" applyFont="1" applyFill="1" applyBorder="1" applyAlignment="1">
      <alignment horizontal="right" indent="1"/>
    </xf>
    <xf numFmtId="164" fontId="39" fillId="0" borderId="0" xfId="1" applyNumberFormat="1" applyFont="1" applyFill="1" applyBorder="1"/>
    <xf numFmtId="164" fontId="39" fillId="0" borderId="0" xfId="1" applyNumberFormat="1" applyFont="1" applyFill="1" applyBorder="1" applyAlignment="1">
      <alignment horizontal="right"/>
    </xf>
    <xf numFmtId="0" fontId="45" fillId="0" borderId="0" xfId="0" applyFont="1"/>
    <xf numFmtId="169" fontId="39" fillId="0" borderId="0" xfId="1" quotePrefix="1" applyNumberFormat="1" applyFont="1" applyFill="1" applyBorder="1" applyAlignment="1">
      <alignment horizontal="right"/>
    </xf>
    <xf numFmtId="164" fontId="39" fillId="0" borderId="0" xfId="1" applyNumberFormat="1" applyFont="1" applyFill="1" applyBorder="1" applyAlignment="1">
      <alignment horizontal="center"/>
    </xf>
    <xf numFmtId="164" fontId="39" fillId="0" borderId="0" xfId="1" quotePrefix="1" applyNumberFormat="1" applyFont="1" applyFill="1" applyBorder="1" applyAlignment="1">
      <alignment horizontal="center"/>
    </xf>
    <xf numFmtId="169" fontId="0" fillId="0" borderId="0" xfId="0" applyNumberFormat="1"/>
    <xf numFmtId="164" fontId="39" fillId="0" borderId="0" xfId="1" applyNumberFormat="1" applyFont="1" applyFill="1"/>
    <xf numFmtId="14" fontId="39" fillId="0" borderId="0" xfId="0" applyNumberFormat="1" applyFont="1" applyAlignment="1">
      <alignment horizontal="left"/>
    </xf>
    <xf numFmtId="3" fontId="39" fillId="0" borderId="0" xfId="1" applyNumberFormat="1" applyFont="1" applyFill="1" applyAlignment="1">
      <alignment horizontal="right" indent="2"/>
    </xf>
    <xf numFmtId="3" fontId="39" fillId="0" borderId="0" xfId="1" applyNumberFormat="1" applyFont="1" applyFill="1" applyAlignment="1">
      <alignment horizontal="right" indent="1"/>
    </xf>
    <xf numFmtId="3" fontId="39" fillId="0" borderId="0" xfId="1" applyNumberFormat="1" applyFont="1" applyFill="1" applyAlignment="1">
      <alignment horizontal="center"/>
    </xf>
    <xf numFmtId="169" fontId="39" fillId="0" borderId="0" xfId="1" applyNumberFormat="1" applyFont="1" applyFill="1" applyBorder="1" applyAlignment="1">
      <alignment horizontal="right" indent="2"/>
    </xf>
    <xf numFmtId="169" fontId="39" fillId="0" borderId="1" xfId="1" applyNumberFormat="1" applyFont="1" applyFill="1" applyBorder="1" applyAlignment="1">
      <alignment horizontal="right" indent="2"/>
    </xf>
    <xf numFmtId="0" fontId="41" fillId="0" borderId="0" xfId="0" applyFont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9" fontId="39" fillId="0" borderId="1" xfId="1" applyNumberFormat="1" applyFont="1" applyFill="1" applyBorder="1" applyAlignment="1">
      <alignment horizontal="center"/>
    </xf>
    <xf numFmtId="165" fontId="39" fillId="0" borderId="1" xfId="1" applyNumberFormat="1" applyFont="1" applyFill="1" applyBorder="1" applyAlignment="1">
      <alignment horizontal="right"/>
    </xf>
    <xf numFmtId="16" fontId="39" fillId="0" borderId="0" xfId="0" applyNumberFormat="1" applyFont="1"/>
    <xf numFmtId="0" fontId="40" fillId="0" borderId="0" xfId="0" applyFont="1" applyAlignment="1">
      <alignment horizontal="center"/>
    </xf>
    <xf numFmtId="2" fontId="39" fillId="0" borderId="0" xfId="0" applyNumberFormat="1" applyFont="1" applyAlignment="1">
      <alignment horizontal="right" indent="2"/>
    </xf>
    <xf numFmtId="170" fontId="39" fillId="0" borderId="0" xfId="0" applyNumberFormat="1" applyFont="1"/>
    <xf numFmtId="43" fontId="39" fillId="0" borderId="0" xfId="1" quotePrefix="1" applyFont="1" applyFill="1" applyBorder="1" applyAlignment="1">
      <alignment horizontal="center"/>
    </xf>
    <xf numFmtId="166" fontId="39" fillId="0" borderId="0" xfId="1" quotePrefix="1" applyNumberFormat="1" applyFont="1" applyFill="1" applyBorder="1" applyAlignment="1">
      <alignment horizontal="center"/>
    </xf>
    <xf numFmtId="43" fontId="39" fillId="0" borderId="0" xfId="1" applyFont="1" applyFill="1" applyBorder="1" applyAlignment="1">
      <alignment horizontal="center"/>
    </xf>
    <xf numFmtId="0" fontId="45" fillId="0" borderId="0" xfId="0" quotePrefix="1" applyFont="1"/>
    <xf numFmtId="0" fontId="39" fillId="0" borderId="0" xfId="0" applyFont="1" applyAlignment="1">
      <alignment horizontal="left"/>
    </xf>
    <xf numFmtId="0" fontId="39" fillId="0" borderId="0" xfId="0" applyFont="1" applyAlignment="1">
      <alignment horizontal="left" indent="1"/>
    </xf>
    <xf numFmtId="0" fontId="39" fillId="0" borderId="3" xfId="0" applyFont="1" applyBorder="1" applyAlignment="1">
      <alignment horizontal="center"/>
    </xf>
    <xf numFmtId="0" fontId="39" fillId="0" borderId="1" xfId="0" applyFont="1" applyBorder="1" applyAlignment="1">
      <alignment horizontal="left"/>
    </xf>
    <xf numFmtId="0" fontId="40" fillId="0" borderId="3" xfId="0" quotePrefix="1" applyFont="1" applyBorder="1"/>
    <xf numFmtId="0" fontId="40" fillId="0" borderId="3" xfId="0" applyFont="1" applyBorder="1"/>
    <xf numFmtId="43" fontId="39" fillId="0" borderId="0" xfId="1" applyFont="1" applyFill="1" applyBorder="1"/>
    <xf numFmtId="2" fontId="39" fillId="0" borderId="0" xfId="0" applyNumberFormat="1" applyFont="1" applyAlignment="1">
      <alignment horizontal="center"/>
    </xf>
    <xf numFmtId="43" fontId="39" fillId="0" borderId="0" xfId="0" applyNumberFormat="1" applyFont="1"/>
    <xf numFmtId="0" fontId="34" fillId="0" borderId="0" xfId="0" applyFont="1"/>
    <xf numFmtId="2" fontId="0" fillId="0" borderId="0" xfId="0" applyNumberFormat="1"/>
    <xf numFmtId="165" fontId="39" fillId="0" borderId="0" xfId="1" applyNumberFormat="1" applyFont="1" applyFill="1" applyBorder="1" applyAlignment="1">
      <alignment horizontal="center"/>
    </xf>
    <xf numFmtId="47" fontId="0" fillId="0" borderId="0" xfId="0" applyNumberFormat="1"/>
    <xf numFmtId="43" fontId="0" fillId="0" borderId="0" xfId="1" applyFont="1" applyFill="1"/>
    <xf numFmtId="0" fontId="43" fillId="0" borderId="0" xfId="0" applyFont="1" applyAlignment="1">
      <alignment vertical="center"/>
    </xf>
    <xf numFmtId="168" fontId="39" fillId="0" borderId="0" xfId="0" applyNumberFormat="1" applyFont="1"/>
    <xf numFmtId="2" fontId="39" fillId="0" borderId="0" xfId="0" applyNumberFormat="1" applyFont="1"/>
    <xf numFmtId="43" fontId="0" fillId="0" borderId="0" xfId="1" applyFont="1" applyFill="1" applyBorder="1"/>
    <xf numFmtId="43" fontId="0" fillId="0" borderId="0" xfId="0" applyNumberFormat="1"/>
    <xf numFmtId="0" fontId="39" fillId="0" borderId="3" xfId="0" applyFont="1" applyBorder="1"/>
    <xf numFmtId="165" fontId="39" fillId="0" borderId="0" xfId="1" applyNumberFormat="1" applyFont="1" applyFill="1"/>
    <xf numFmtId="37" fontId="39" fillId="0" borderId="0" xfId="1" applyNumberFormat="1" applyFont="1" applyFill="1" applyBorder="1" applyAlignment="1">
      <alignment horizontal="center"/>
    </xf>
    <xf numFmtId="37" fontId="39" fillId="0" borderId="0" xfId="1" applyNumberFormat="1" applyFont="1" applyFill="1" applyBorder="1" applyAlignment="1">
      <alignment horizontal="right" indent="2"/>
    </xf>
    <xf numFmtId="165" fontId="39" fillId="0" borderId="0" xfId="1" applyNumberFormat="1" applyFont="1" applyFill="1" applyBorder="1"/>
    <xf numFmtId="37" fontId="39" fillId="0" borderId="0" xfId="1" applyNumberFormat="1" applyFont="1" applyFill="1" applyBorder="1" applyAlignment="1">
      <alignment horizontal="right" indent="1"/>
    </xf>
    <xf numFmtId="37" fontId="39" fillId="0" borderId="1" xfId="1" applyNumberFormat="1" applyFont="1" applyFill="1" applyBorder="1" applyAlignment="1">
      <alignment horizontal="center"/>
    </xf>
    <xf numFmtId="37" fontId="39" fillId="0" borderId="1" xfId="1" applyNumberFormat="1" applyFont="1" applyFill="1" applyBorder="1" applyAlignment="1">
      <alignment horizontal="right" indent="2"/>
    </xf>
    <xf numFmtId="165" fontId="39" fillId="0" borderId="1" xfId="1" applyNumberFormat="1" applyFont="1" applyFill="1" applyBorder="1"/>
    <xf numFmtId="37" fontId="39" fillId="0" borderId="1" xfId="1" applyNumberFormat="1" applyFont="1" applyFill="1" applyBorder="1" applyAlignment="1">
      <alignment horizontal="right" indent="1"/>
    </xf>
    <xf numFmtId="9" fontId="39" fillId="0" borderId="0" xfId="12" applyFont="1" applyFill="1"/>
    <xf numFmtId="1" fontId="39" fillId="0" borderId="0" xfId="0" applyNumberFormat="1" applyFont="1" applyAlignment="1">
      <alignment horizontal="center"/>
    </xf>
    <xf numFmtId="1" fontId="39" fillId="0" borderId="1" xfId="0" applyNumberFormat="1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14" fontId="39" fillId="0" borderId="0" xfId="0" applyNumberFormat="1" applyFont="1" applyAlignment="1">
      <alignment horizontal="right" indent="1"/>
    </xf>
    <xf numFmtId="0" fontId="39" fillId="0" borderId="0" xfId="0" applyFont="1" applyAlignment="1">
      <alignment vertical="center"/>
    </xf>
    <xf numFmtId="0" fontId="39" fillId="0" borderId="0" xfId="0" applyFont="1" applyAlignment="1">
      <alignment vertical="center" wrapText="1"/>
    </xf>
    <xf numFmtId="169" fontId="39" fillId="0" borderId="0" xfId="1" applyNumberFormat="1" applyFont="1" applyFill="1" applyAlignment="1">
      <alignment horizontal="center"/>
    </xf>
    <xf numFmtId="0" fontId="41" fillId="0" borderId="3" xfId="0" applyFont="1" applyBorder="1"/>
    <xf numFmtId="164" fontId="39" fillId="0" borderId="3" xfId="0" applyNumberFormat="1" applyFont="1" applyBorder="1"/>
    <xf numFmtId="171" fontId="0" fillId="0" borderId="0" xfId="1" applyNumberFormat="1" applyFont="1" applyFill="1" applyBorder="1"/>
    <xf numFmtId="0" fontId="30" fillId="0" borderId="0" xfId="8" applyFont="1"/>
    <xf numFmtId="0" fontId="30" fillId="0" borderId="0" xfId="0" applyFont="1"/>
    <xf numFmtId="4" fontId="48" fillId="0" borderId="0" xfId="0" applyNumberFormat="1" applyFont="1"/>
    <xf numFmtId="0" fontId="30" fillId="0" borderId="0" xfId="0" applyFont="1" applyAlignment="1">
      <alignment horizontal="right"/>
    </xf>
    <xf numFmtId="2" fontId="30" fillId="0" borderId="0" xfId="0" applyNumberFormat="1" applyFont="1" applyAlignment="1">
      <alignment horizontal="right"/>
    </xf>
    <xf numFmtId="172" fontId="34" fillId="0" borderId="0" xfId="12" applyNumberFormat="1" applyFont="1" applyFill="1"/>
    <xf numFmtId="4" fontId="0" fillId="0" borderId="0" xfId="0" applyNumberFormat="1"/>
    <xf numFmtId="169" fontId="39" fillId="0" borderId="0" xfId="1" applyNumberFormat="1" applyFont="1" applyBorder="1" applyAlignment="1">
      <alignment horizontal="right" indent="1"/>
    </xf>
    <xf numFmtId="0" fontId="30" fillId="0" borderId="0" xfId="20"/>
    <xf numFmtId="37" fontId="0" fillId="0" borderId="0" xfId="0" applyNumberFormat="1"/>
    <xf numFmtId="173" fontId="48" fillId="0" borderId="0" xfId="0" applyNumberFormat="1" applyFont="1"/>
    <xf numFmtId="174" fontId="39" fillId="0" borderId="0" xfId="1" applyNumberFormat="1" applyFont="1" applyFill="1" applyBorder="1" applyAlignment="1">
      <alignment horizontal="right" indent="2"/>
    </xf>
    <xf numFmtId="0" fontId="49" fillId="0" borderId="0" xfId="44" applyFont="1" applyAlignment="1">
      <alignment horizontal="center"/>
    </xf>
    <xf numFmtId="164" fontId="39" fillId="2" borderId="0" xfId="1" applyNumberFormat="1" applyFont="1" applyFill="1" applyBorder="1" applyAlignment="1">
      <alignment horizontal="center"/>
    </xf>
    <xf numFmtId="0" fontId="50" fillId="0" borderId="1" xfId="46" applyFont="1" applyBorder="1" applyAlignment="1">
      <alignment horizontal="center" wrapText="1"/>
    </xf>
    <xf numFmtId="0" fontId="49" fillId="0" borderId="0" xfId="46" applyFont="1" applyAlignment="1">
      <alignment horizontal="center"/>
    </xf>
    <xf numFmtId="2" fontId="47" fillId="0" borderId="0" xfId="0" applyNumberFormat="1" applyFont="1" applyAlignment="1">
      <alignment horizontal="center"/>
    </xf>
    <xf numFmtId="0" fontId="52" fillId="0" borderId="0" xfId="0" applyFont="1"/>
    <xf numFmtId="0" fontId="0" fillId="0" borderId="0" xfId="20" applyFont="1"/>
    <xf numFmtId="39" fontId="51" fillId="0" borderId="0" xfId="1" applyNumberFormat="1" applyFont="1" applyFill="1" applyAlignment="1">
      <alignment horizontal="right"/>
    </xf>
    <xf numFmtId="169" fontId="47" fillId="0" borderId="0" xfId="1" applyNumberFormat="1" applyFont="1" applyFill="1" applyBorder="1" applyAlignment="1">
      <alignment horizontal="right"/>
    </xf>
    <xf numFmtId="170" fontId="0" fillId="0" borderId="0" xfId="0" applyNumberFormat="1"/>
    <xf numFmtId="175" fontId="48" fillId="0" borderId="0" xfId="0" applyNumberFormat="1" applyFont="1"/>
    <xf numFmtId="37" fontId="51" fillId="0" borderId="0" xfId="1" applyNumberFormat="1" applyFont="1" applyFill="1"/>
    <xf numFmtId="165" fontId="0" fillId="0" borderId="0" xfId="0" applyNumberFormat="1"/>
    <xf numFmtId="37" fontId="39" fillId="0" borderId="0" xfId="0" applyNumberFormat="1" applyFont="1" applyAlignment="1">
      <alignment vertical="center" wrapText="1"/>
    </xf>
    <xf numFmtId="176" fontId="0" fillId="0" borderId="0" xfId="0" applyNumberFormat="1"/>
    <xf numFmtId="167" fontId="51" fillId="0" borderId="0" xfId="1" applyNumberFormat="1" applyFont="1" applyFill="1" applyAlignment="1">
      <alignment horizontal="right"/>
    </xf>
    <xf numFmtId="1" fontId="0" fillId="0" borderId="0" xfId="0" applyNumberFormat="1"/>
    <xf numFmtId="3" fontId="47" fillId="0" borderId="0" xfId="1" applyNumberFormat="1" applyFont="1" applyFill="1" applyBorder="1" applyAlignment="1">
      <alignment horizontal="right" indent="1"/>
    </xf>
    <xf numFmtId="37" fontId="39" fillId="0" borderId="0" xfId="0" applyNumberFormat="1" applyFont="1"/>
    <xf numFmtId="167" fontId="30" fillId="0" borderId="0" xfId="20" applyNumberFormat="1"/>
    <xf numFmtId="172" fontId="52" fillId="0" borderId="0" xfId="12" applyNumberFormat="1" applyFont="1"/>
    <xf numFmtId="172" fontId="30" fillId="0" borderId="0" xfId="12" applyNumberFormat="1"/>
    <xf numFmtId="2" fontId="39" fillId="0" borderId="1" xfId="0" applyNumberFormat="1" applyFont="1" applyBorder="1" applyAlignment="1">
      <alignment horizontal="right" indent="2"/>
    </xf>
    <xf numFmtId="169" fontId="39" fillId="0" borderId="1" xfId="1" applyNumberFormat="1" applyFont="1" applyFill="1" applyBorder="1" applyAlignment="1">
      <alignment horizontal="right" indent="1"/>
    </xf>
    <xf numFmtId="2" fontId="47" fillId="0" borderId="1" xfId="0" applyNumberFormat="1" applyFont="1" applyBorder="1" applyAlignment="1">
      <alignment horizontal="center"/>
    </xf>
    <xf numFmtId="2" fontId="39" fillId="0" borderId="1" xfId="0" applyNumberFormat="1" applyFont="1" applyBorder="1" applyAlignment="1">
      <alignment horizontal="center"/>
    </xf>
    <xf numFmtId="43" fontId="39" fillId="0" borderId="1" xfId="1" applyFont="1" applyFill="1" applyBorder="1" applyAlignment="1">
      <alignment horizontal="center"/>
    </xf>
    <xf numFmtId="1" fontId="30" fillId="0" borderId="0" xfId="20" applyNumberFormat="1" applyAlignment="1">
      <alignment wrapText="1"/>
    </xf>
    <xf numFmtId="1" fontId="30" fillId="0" borderId="0" xfId="20" applyNumberFormat="1"/>
    <xf numFmtId="172" fontId="0" fillId="0" borderId="0" xfId="12" applyNumberFormat="1" applyFont="1"/>
    <xf numFmtId="1" fontId="0" fillId="0" borderId="0" xfId="20" applyNumberFormat="1" applyFont="1"/>
    <xf numFmtId="177" fontId="30" fillId="0" borderId="0" xfId="20" applyNumberFormat="1"/>
    <xf numFmtId="0" fontId="30" fillId="0" borderId="1" xfId="20" applyBorder="1" applyAlignment="1">
      <alignment wrapText="1"/>
    </xf>
    <xf numFmtId="0" fontId="50" fillId="0" borderId="1" xfId="67" applyFont="1" applyBorder="1" applyAlignment="1">
      <alignment horizontal="center" wrapText="1"/>
    </xf>
    <xf numFmtId="0" fontId="37" fillId="0" borderId="1" xfId="20" applyFont="1" applyBorder="1" applyAlignment="1">
      <alignment horizontal="centerContinuous"/>
    </xf>
    <xf numFmtId="0" fontId="50" fillId="0" borderId="1" xfId="68" applyFont="1" applyBorder="1" applyAlignment="1">
      <alignment horizontal="left" wrapText="1"/>
    </xf>
    <xf numFmtId="0" fontId="50" fillId="0" borderId="1" xfId="68" applyFont="1" applyBorder="1" applyAlignment="1">
      <alignment horizontal="right" wrapText="1"/>
    </xf>
    <xf numFmtId="0" fontId="49" fillId="0" borderId="0" xfId="68" applyFont="1" applyAlignment="1">
      <alignment horizontal="left" wrapText="1"/>
    </xf>
    <xf numFmtId="2" fontId="49" fillId="0" borderId="0" xfId="68" applyNumberFormat="1" applyFont="1" applyAlignment="1">
      <alignment horizontal="right"/>
    </xf>
    <xf numFmtId="17" fontId="30" fillId="0" borderId="0" xfId="20" applyNumberFormat="1" applyAlignment="1">
      <alignment horizontal="left"/>
    </xf>
    <xf numFmtId="2" fontId="49" fillId="0" borderId="0" xfId="33" applyNumberFormat="1" applyFont="1" applyFill="1" applyAlignment="1">
      <alignment horizontal="right" vertical="center"/>
    </xf>
    <xf numFmtId="2" fontId="30" fillId="0" borderId="0" xfId="20" applyNumberFormat="1"/>
    <xf numFmtId="1" fontId="49" fillId="0" borderId="0" xfId="33" applyNumberFormat="1" applyFont="1" applyFill="1" applyAlignment="1">
      <alignment horizontal="right" vertical="center"/>
    </xf>
    <xf numFmtId="41" fontId="30" fillId="0" borderId="0" xfId="20" applyNumberFormat="1" applyAlignment="1">
      <alignment horizontal="left"/>
    </xf>
    <xf numFmtId="179" fontId="30" fillId="0" borderId="0" xfId="20" applyNumberFormat="1" applyAlignment="1">
      <alignment horizontal="left"/>
    </xf>
    <xf numFmtId="2" fontId="47" fillId="0" borderId="0" xfId="0" applyNumberFormat="1" applyFont="1" applyAlignment="1">
      <alignment horizontal="right" indent="2"/>
    </xf>
    <xf numFmtId="9" fontId="0" fillId="0" borderId="0" xfId="12" applyFont="1"/>
    <xf numFmtId="176" fontId="30" fillId="0" borderId="0" xfId="0" applyNumberFormat="1" applyFont="1"/>
    <xf numFmtId="178" fontId="49" fillId="0" borderId="0" xfId="33" applyNumberFormat="1" applyFont="1" applyFill="1" applyAlignment="1">
      <alignment horizontal="center" vertical="center"/>
    </xf>
    <xf numFmtId="0" fontId="39" fillId="0" borderId="2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40" fillId="0" borderId="2" xfId="0" quotePrefix="1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5" xfId="0" quotePrefix="1" applyFont="1" applyBorder="1" applyAlignment="1">
      <alignment horizontal="center"/>
    </xf>
    <xf numFmtId="0" fontId="40" fillId="0" borderId="6" xfId="0" applyFont="1" applyBorder="1" applyAlignment="1">
      <alignment horizontal="center"/>
    </xf>
    <xf numFmtId="0" fontId="40" fillId="0" borderId="5" xfId="0" applyFont="1" applyBorder="1" applyAlignment="1">
      <alignment horizontal="center"/>
    </xf>
  </cellXfs>
  <cellStyles count="69">
    <cellStyle name="Comma" xfId="1" builtinId="3"/>
    <cellStyle name="Comma 19" xfId="38" xr:uid="{DDCE393F-1348-4189-A747-6A37252868C8}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4 2" xfId="59" xr:uid="{1962B490-9A00-4E27-9643-2FC54AC437E3}"/>
    <cellStyle name="Comma 5" xfId="28" xr:uid="{70FA35DD-5A4C-4F46-9C0F-4EF98207937B}"/>
    <cellStyle name="Comma 5 2" xfId="31" xr:uid="{1A54A7D5-5C84-48D6-943B-F788A3F8D756}"/>
    <cellStyle name="Comma 5 2 2" xfId="64" xr:uid="{52820DF5-9A1A-4F65-811C-12E350C4A452}"/>
    <cellStyle name="Comma 5 3" xfId="61" xr:uid="{66B0EFF1-9B5C-4010-8FFD-B7EBF2B47072}"/>
    <cellStyle name="Currency 2" xfId="33" xr:uid="{8219487F-D241-4C0D-8320-8F18D40FD705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10" xfId="27" xr:uid="{89A3A5E2-F786-4249-BED3-9C369DE53169}"/>
    <cellStyle name="Normal 10 2" xfId="60" xr:uid="{E126FF74-8F35-46C0-B499-BB9FB7C0492D}"/>
    <cellStyle name="Normal 11" xfId="29" xr:uid="{4B9E3B86-F018-48E8-A1B7-B09DE503DA20}"/>
    <cellStyle name="Normal 11 10" xfId="48" xr:uid="{B0B7CAAA-7091-450F-85C9-52BED8D28969}"/>
    <cellStyle name="Normal 11 10 2" xfId="68" xr:uid="{9A95CB22-B964-41F2-92CA-C3C560A238E3}"/>
    <cellStyle name="Normal 11 11" xfId="62" xr:uid="{E3FE90C6-7CCC-48DA-835F-769A18F811F8}"/>
    <cellStyle name="Normal 11 12" xfId="66" xr:uid="{24A271D4-02AB-41AD-A39D-32AAEBED943C}"/>
    <cellStyle name="Normal 11 2" xfId="30" xr:uid="{75FDC25E-C28E-497B-82EF-A28CA2584098}"/>
    <cellStyle name="Normal 11 2 2" xfId="40" xr:uid="{AF392839-9EFD-46E7-9522-B670F46A3E86}"/>
    <cellStyle name="Normal 11 2 3" xfId="63" xr:uid="{862C7908-EC11-44E3-B785-2E62204B1971}"/>
    <cellStyle name="Normal 11 3" xfId="32" xr:uid="{5440E113-77DF-4DAD-9026-4858CCB03DB9}"/>
    <cellStyle name="Normal 11 3 2" xfId="43" xr:uid="{8321DB1C-E877-443D-8A22-A2E591665B83}"/>
    <cellStyle name="Normal 11 3 3" xfId="65" xr:uid="{4E905B9F-EF70-4EAF-9DFC-D3D7C0096B62}"/>
    <cellStyle name="Normal 11 4" xfId="34" xr:uid="{A40234E1-3048-4174-AD15-1523030C134E}"/>
    <cellStyle name="Normal 11 5" xfId="35" xr:uid="{4DBA6093-DBC1-4A4A-9E14-A119E11ED16A}"/>
    <cellStyle name="Normal 11 6" xfId="36" xr:uid="{D17AAFBD-A258-4936-AA31-95286968AA67}"/>
    <cellStyle name="Normal 11 6 2" xfId="42" xr:uid="{9DF0F002-C7F7-42C9-919A-21BCFA675B2A}"/>
    <cellStyle name="Normal 11 6 2 2" xfId="49" xr:uid="{3BCF6672-671D-4690-A776-FA31F543923C}"/>
    <cellStyle name="Normal 11 6 3" xfId="44" xr:uid="{8D99E9BD-AF94-4306-8B61-749EAEFE8FD0}"/>
    <cellStyle name="Normal 11 6 3 2" xfId="47" xr:uid="{E9C554E9-6250-424B-9089-AB0F2F62FF9F}"/>
    <cellStyle name="Normal 11 6 3 2 2" xfId="50" xr:uid="{EE3659D5-A709-4860-9D3D-5E6D362E2A99}"/>
    <cellStyle name="Normal 11 6 3 2 3" xfId="51" xr:uid="{025CF3BB-6F64-4E4B-ADF3-415CE346BA0F}"/>
    <cellStyle name="Normal 11 6 3 2 4" xfId="67" xr:uid="{9D78D10E-E269-408B-B6A3-E1A70287BFD8}"/>
    <cellStyle name="Normal 11 6 4" xfId="46" xr:uid="{8BEB9B88-2ECA-4F90-BDBA-C56B823B5754}"/>
    <cellStyle name="Normal 11 7" xfId="37" xr:uid="{6CE0624E-52F1-420A-B337-3C1B5BC972EB}"/>
    <cellStyle name="Normal 11 7 2" xfId="45" xr:uid="{6B567826-B84C-483F-A470-3B25A829C090}"/>
    <cellStyle name="Normal 11 8" xfId="39" xr:uid="{0BF66E25-9592-468E-9940-DD1B664A8C87}"/>
    <cellStyle name="Normal 11 9" xfId="41" xr:uid="{76238D42-3A4F-48DE-9A10-ACA406295500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5 2 2" xfId="55" xr:uid="{6901B104-248D-416D-85BF-60E7D7CCEE23}"/>
    <cellStyle name="Normal 5 3" xfId="52" xr:uid="{61D29457-DAC5-44A6-B4DB-3F6E4FD534E7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2 2 2" xfId="57" xr:uid="{60A7680C-AE12-46D5-BD48-348BB207A242}"/>
    <cellStyle name="Normal 8 2 3" xfId="54" xr:uid="{111A3AB0-B470-4C6E-9913-EE396C483F4D}"/>
    <cellStyle name="Normal 8 3" xfId="23" xr:uid="{A94EEB1A-B27E-4B51-9834-B757898F882E}"/>
    <cellStyle name="Normal 8 3 2" xfId="56" xr:uid="{456F379F-7F49-43B2-8FF0-6AAF56B0FC27}"/>
    <cellStyle name="Normal 8 4" xfId="53" xr:uid="{81805300-0E1D-454A-9D60-0F01D6190D6C}"/>
    <cellStyle name="Normal 9" xfId="25" xr:uid="{AF562AB2-2E7D-4C04-814F-6AC30A92CE3A}"/>
    <cellStyle name="Normal 9 2" xfId="58" xr:uid="{9E080DFC-9773-4552-A43C-01793D50B659}"/>
    <cellStyle name="Percent" xfId="12" builtinId="5"/>
  </cellStyles>
  <dxfs count="0"/>
  <tableStyles count="0" defaultTableStyle="TableStyleMedium9" defaultPivotStyle="PivotStyleLight16"/>
  <colors>
    <mruColors>
      <color rgb="FFFFFF00"/>
      <color rgb="FFFA6400"/>
      <color rgb="FFFFCF01"/>
      <color rgb="FF00B050"/>
      <color rgb="FF984807"/>
      <color rgb="FF95B3D7"/>
      <color rgb="FFC0504D"/>
      <color rgb="FFC0502F"/>
      <color rgb="FFD9969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b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1</a:t>
            </a:r>
          </a:p>
          <a:p>
            <a:pPr algn="l">
              <a:defRPr sz="1100"/>
            </a:pPr>
            <a:endParaRPr lang="en-US" sz="1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1100"/>
            </a:pPr>
            <a:r>
              <a:rPr lang="en-US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Soybean production by region</a:t>
            </a:r>
            <a:endParaRPr lang="en-US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8.220552159598252E-3"/>
          <c:y val="9.68819882275538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3041645785613"/>
          <c:y val="0.20528996207553582"/>
          <c:w val="0.79839301160330634"/>
          <c:h val="0.45300144843528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1'!$B$1</c:f>
              <c:strCache>
                <c:ptCount val="1"/>
                <c:pt idx="0">
                  <c:v>2022/23</c:v>
                </c:pt>
              </c:strCache>
            </c:strRef>
          </c:tx>
          <c:spPr>
            <a:solidFill>
              <a:srgbClr val="4F81BD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EC-45EC-BEC1-14803FCA3DF2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EC-45EC-BEC1-14803FCA3DF2}"/>
              </c:ext>
            </c:extLst>
          </c:dPt>
          <c:dPt>
            <c:idx val="2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EC-45EC-BEC1-14803FCA3DF2}"/>
              </c:ext>
            </c:extLst>
          </c:dPt>
          <c:dPt>
            <c:idx val="3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EC-45EC-BEC1-14803FCA3DF2}"/>
              </c:ext>
            </c:extLst>
          </c:dPt>
          <c:dPt>
            <c:idx val="4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5EC-45EC-BEC1-14803FCA3DF2}"/>
              </c:ext>
            </c:extLst>
          </c:dPt>
          <c:dPt>
            <c:idx val="5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5EC-45EC-BEC1-14803FCA3DF2}"/>
              </c:ext>
            </c:extLst>
          </c:dPt>
          <c:cat>
            <c:strRef>
              <c:f>'Figure 1'!$A$2:$A$7</c:f>
              <c:strCache>
                <c:ptCount val="6"/>
                <c:pt idx="0">
                  <c:v>Delta</c:v>
                </c:pt>
                <c:pt idx="1">
                  <c:v>Eastern Corn Belt</c:v>
                </c:pt>
                <c:pt idx="2">
                  <c:v>Western Corn Belt</c:v>
                </c:pt>
                <c:pt idx="3">
                  <c:v>Central Plains</c:v>
                </c:pt>
                <c:pt idx="4">
                  <c:v>Northern Plains</c:v>
                </c:pt>
                <c:pt idx="5">
                  <c:v>Other</c:v>
                </c:pt>
              </c:strCache>
            </c:strRef>
          </c:cat>
          <c:val>
            <c:numRef>
              <c:f>'Figure 1'!$B$2:$B$7</c:f>
              <c:numCache>
                <c:formatCode>0.00</c:formatCode>
                <c:ptCount val="6"/>
                <c:pt idx="0">
                  <c:v>344.33</c:v>
                </c:pt>
                <c:pt idx="1">
                  <c:v>1515.7950000000001</c:v>
                </c:pt>
                <c:pt idx="2">
                  <c:v>1231.9849999999999</c:v>
                </c:pt>
                <c:pt idx="3">
                  <c:v>410.59500000000003</c:v>
                </c:pt>
                <c:pt idx="4">
                  <c:v>391.11</c:v>
                </c:pt>
                <c:pt idx="5">
                  <c:v>382.30799999999999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5EC-45EC-BEC1-14803FCA3DF2}"/>
            </c:ext>
          </c:extLst>
        </c:ser>
        <c:ser>
          <c:idx val="1"/>
          <c:order val="1"/>
          <c:tx>
            <c:strRef>
              <c:f>'Figure 1'!$C$1</c:f>
              <c:strCache>
                <c:ptCount val="1"/>
                <c:pt idx="0">
                  <c:v>2023/24*</c:v>
                </c:pt>
              </c:strCache>
            </c:strRef>
          </c:tx>
          <c:spPr>
            <a:solidFill>
              <a:srgbClr val="C0504D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'Figure 1'!$A$2:$A$7</c:f>
              <c:strCache>
                <c:ptCount val="6"/>
                <c:pt idx="0">
                  <c:v>Delta</c:v>
                </c:pt>
                <c:pt idx="1">
                  <c:v>Eastern Corn Belt</c:v>
                </c:pt>
                <c:pt idx="2">
                  <c:v>Western Corn Belt</c:v>
                </c:pt>
                <c:pt idx="3">
                  <c:v>Central Plains</c:v>
                </c:pt>
                <c:pt idx="4">
                  <c:v>Northern Plains</c:v>
                </c:pt>
                <c:pt idx="5">
                  <c:v>Other</c:v>
                </c:pt>
              </c:strCache>
            </c:strRef>
          </c:cat>
          <c:val>
            <c:numRef>
              <c:f>'Figure 1'!$C$2:$C$7</c:f>
              <c:numCache>
                <c:formatCode>0.00</c:formatCode>
                <c:ptCount val="6"/>
                <c:pt idx="0">
                  <c:v>332.64</c:v>
                </c:pt>
                <c:pt idx="1">
                  <c:v>1421.2</c:v>
                </c:pt>
                <c:pt idx="2">
                  <c:v>1171.78</c:v>
                </c:pt>
                <c:pt idx="3">
                  <c:v>463.1</c:v>
                </c:pt>
                <c:pt idx="4">
                  <c:v>405.3</c:v>
                </c:pt>
                <c:pt idx="5">
                  <c:v>411.43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EC-45EC-BEC1-14803FCA3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21751648"/>
        <c:axId val="1821751232"/>
      </c:barChart>
      <c:catAx>
        <c:axId val="18217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1751232"/>
        <c:crosses val="autoZero"/>
        <c:auto val="1"/>
        <c:lblAlgn val="ctr"/>
        <c:lblOffset val="100"/>
        <c:noMultiLvlLbl val="0"/>
      </c:catAx>
      <c:valAx>
        <c:axId val="18217512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17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832786880261009"/>
          <c:y val="0.12653260571249195"/>
          <c:w val="0.29230766891709548"/>
          <c:h val="6.3631667082338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2</a:t>
            </a:r>
            <a:endParaRPr lang="en-US" sz="800">
              <a:effectLst/>
            </a:endParaRP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U.S. peanut production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2.407987532024453E-3"/>
          <c:y val="2.27572969362665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32038571597763"/>
          <c:y val="0.25925611105840685"/>
          <c:w val="0.78621111225725604"/>
          <c:h val="0.446101381905575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2'!$B$1</c:f>
              <c:strCache>
                <c:ptCount val="1"/>
                <c:pt idx="0">
                  <c:v>Alabama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val>
            <c:numRef>
              <c:f>'Figure 2'!$B$2:$B$7</c:f>
              <c:numCache>
                <c:formatCode>0.0</c:formatCode>
                <c:ptCount val="6"/>
                <c:pt idx="0">
                  <c:v>571.54999999999995</c:v>
                </c:pt>
                <c:pt idx="1">
                  <c:v>522.6</c:v>
                </c:pt>
                <c:pt idx="2">
                  <c:v>622.20000000000005</c:v>
                </c:pt>
                <c:pt idx="3">
                  <c:v>609.70000000000005</c:v>
                </c:pt>
                <c:pt idx="4">
                  <c:v>558.9</c:v>
                </c:pt>
                <c:pt idx="5">
                  <c:v>576.15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FC-4EF2-9237-ACCA9CFAC032}"/>
            </c:ext>
          </c:extLst>
        </c:ser>
        <c:ser>
          <c:idx val="0"/>
          <c:order val="1"/>
          <c:tx>
            <c:strRef>
              <c:f>'Figure 2'!$C$1</c:f>
              <c:strCache>
                <c:ptCount val="1"/>
                <c:pt idx="0">
                  <c:v>Florida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val>
            <c:numRef>
              <c:f>'Figure 2'!$C$2:$C$7</c:f>
              <c:numCache>
                <c:formatCode>0</c:formatCode>
                <c:ptCount val="6"/>
                <c:pt idx="0">
                  <c:v>564.85</c:v>
                </c:pt>
                <c:pt idx="1">
                  <c:v>589</c:v>
                </c:pt>
                <c:pt idx="2">
                  <c:v>564.4</c:v>
                </c:pt>
                <c:pt idx="3">
                  <c:v>584.6</c:v>
                </c:pt>
                <c:pt idx="4">
                  <c:v>553.79999999999995</c:v>
                </c:pt>
                <c:pt idx="5">
                  <c:v>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C-4EF2-9237-ACCA9CFAC032}"/>
            </c:ext>
          </c:extLst>
        </c:ser>
        <c:ser>
          <c:idx val="2"/>
          <c:order val="2"/>
          <c:tx>
            <c:strRef>
              <c:f>'Figure 2'!$D$1</c:f>
              <c:strCache>
                <c:ptCount val="1"/>
                <c:pt idx="0">
                  <c:v>Georgia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'Figure 2'!$A$2:$A$7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2023/24*</c:v>
                </c:pt>
              </c:strCache>
            </c:strRef>
          </c:cat>
          <c:val>
            <c:numRef>
              <c:f>'Figure 2'!$D$2:$D$7</c:f>
              <c:numCache>
                <c:formatCode>0</c:formatCode>
                <c:ptCount val="6"/>
                <c:pt idx="0">
                  <c:v>2875.45</c:v>
                </c:pt>
                <c:pt idx="1">
                  <c:v>2752.2</c:v>
                </c:pt>
                <c:pt idx="2">
                  <c:v>3316.6</c:v>
                </c:pt>
                <c:pt idx="3">
                  <c:v>3337.5</c:v>
                </c:pt>
                <c:pt idx="4">
                  <c:v>2890</c:v>
                </c:pt>
                <c:pt idx="5">
                  <c:v>3246.5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B-4293-A21B-56FB7A9B475C}"/>
            </c:ext>
          </c:extLst>
        </c:ser>
        <c:ser>
          <c:idx val="3"/>
          <c:order val="3"/>
          <c:tx>
            <c:strRef>
              <c:f>'Figure 2'!$E$1</c:f>
              <c:strCache>
                <c:ptCount val="1"/>
                <c:pt idx="0">
                  <c:v>North Carolina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'Figure 2'!$E$2:$E$7</c:f>
              <c:numCache>
                <c:formatCode>0.0</c:formatCode>
                <c:ptCount val="6"/>
                <c:pt idx="0">
                  <c:v>379.26</c:v>
                </c:pt>
                <c:pt idx="1">
                  <c:v>448.8</c:v>
                </c:pt>
                <c:pt idx="2">
                  <c:v>409.5</c:v>
                </c:pt>
                <c:pt idx="3">
                  <c:v>495.9</c:v>
                </c:pt>
                <c:pt idx="4">
                  <c:v>510.4</c:v>
                </c:pt>
                <c:pt idx="5">
                  <c:v>550.4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F-4BD7-AD74-AB2CF7D94502}"/>
            </c:ext>
          </c:extLst>
        </c:ser>
        <c:ser>
          <c:idx val="4"/>
          <c:order val="4"/>
          <c:tx>
            <c:strRef>
              <c:f>'Figure 2'!$F$1</c:f>
              <c:strCache>
                <c:ptCount val="1"/>
                <c:pt idx="0">
                  <c:v>South Carolina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'Figure 2'!$F$2:$F$6</c:f>
              <c:numCache>
                <c:formatCode>General</c:formatCode>
                <c:ptCount val="5"/>
                <c:pt idx="0">
                  <c:v>272</c:v>
                </c:pt>
                <c:pt idx="1">
                  <c:v>235.6</c:v>
                </c:pt>
                <c:pt idx="2">
                  <c:v>296</c:v>
                </c:pt>
                <c:pt idx="3">
                  <c:v>277.2</c:v>
                </c:pt>
                <c:pt idx="4">
                  <c:v>285.60000000000002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4F-4BD7-AD74-AB2CF7D94502}"/>
            </c:ext>
          </c:extLst>
        </c:ser>
        <c:ser>
          <c:idx val="5"/>
          <c:order val="5"/>
          <c:tx>
            <c:strRef>
              <c:f>'Figure 2'!$G$1</c:f>
              <c:strCache>
                <c:ptCount val="1"/>
                <c:pt idx="0">
                  <c:v>Texas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'Figure 2'!$G$2:$G$7</c:f>
              <c:numCache>
                <c:formatCode>General</c:formatCode>
                <c:ptCount val="6"/>
                <c:pt idx="0">
                  <c:v>464</c:v>
                </c:pt>
                <c:pt idx="1">
                  <c:v>488</c:v>
                </c:pt>
                <c:pt idx="2" formatCode="0">
                  <c:v>484.5</c:v>
                </c:pt>
                <c:pt idx="3" formatCode="0">
                  <c:v>578.34</c:v>
                </c:pt>
                <c:pt idx="4">
                  <c:v>336</c:v>
                </c:pt>
                <c:pt idx="5">
                  <c:v>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4F-4BD7-AD74-AB2CF7D94502}"/>
            </c:ext>
          </c:extLst>
        </c:ser>
        <c:ser>
          <c:idx val="6"/>
          <c:order val="6"/>
          <c:tx>
            <c:strRef>
              <c:f>'Figure 2'!$H$1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2'!$H$2:$H$7</c:f>
              <c:numCache>
                <c:formatCode>0.0</c:formatCode>
                <c:ptCount val="6"/>
                <c:pt idx="0">
                  <c:v>368.82500000000073</c:v>
                </c:pt>
                <c:pt idx="1">
                  <c:v>430.28700000000026</c:v>
                </c:pt>
                <c:pt idx="2">
                  <c:v>465.15000000000055</c:v>
                </c:pt>
                <c:pt idx="3">
                  <c:v>478.09100000000035</c:v>
                </c:pt>
                <c:pt idx="4">
                  <c:v>433.44999999999982</c:v>
                </c:pt>
                <c:pt idx="5" formatCode="General">
                  <c:v>463.20000000000101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4F-4BD7-AD74-AB2CF7D94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3284866684240891"/>
              <c:y val="0.82411814185877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 sz="900"/>
              </a:p>
              <a:p>
                <a:pPr algn="l">
                  <a:defRPr/>
                </a:pPr>
                <a:r>
                  <a:rPr lang="en-US" sz="900" baseline="0"/>
                  <a:t>Million pounds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030842760375477E-2"/>
              <c:y val="0.135926888656990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7287113128326206E-2"/>
          <c:y val="0.11594522973784901"/>
          <c:w val="0.8694083042487073"/>
          <c:h val="5.0366317399301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3</a:t>
            </a: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Rapeseed export prices, Vancouver, Canada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3.6361800928730067E-3"/>
          <c:y val="6.28931800191642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838822778731599E-2"/>
          <c:y val="0.24152994671652667"/>
          <c:w val="0.85671571004735547"/>
          <c:h val="0.4984249773962201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3'!$B$2</c:f>
              <c:strCache>
                <c:ptCount val="1"/>
                <c:pt idx="0">
                  <c:v>2021/22</c:v>
                </c:pt>
              </c:strCache>
            </c:strRef>
          </c:tx>
          <c:spPr>
            <a:ln w="381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'Figure 3'!$A$3:$A$14</c:f>
              <c:strCache>
                <c:ptCount val="12"/>
                <c:pt idx="0">
                  <c:v>Aug.</c:v>
                </c:pt>
                <c:pt idx="1">
                  <c:v>Sep.</c:v>
                </c:pt>
                <c:pt idx="2">
                  <c:v>Oct.</c:v>
                </c:pt>
                <c:pt idx="3">
                  <c:v>Nov.</c:v>
                </c:pt>
                <c:pt idx="4">
                  <c:v>Dec.</c:v>
                </c:pt>
                <c:pt idx="5">
                  <c:v>Jan.</c:v>
                </c:pt>
                <c:pt idx="6">
                  <c:v>Feb.</c:v>
                </c:pt>
                <c:pt idx="7">
                  <c:v>Mar.</c:v>
                </c:pt>
                <c:pt idx="8">
                  <c:v>Apr.</c:v>
                </c:pt>
                <c:pt idx="9">
                  <c:v>May</c:v>
                </c:pt>
                <c:pt idx="10">
                  <c:v>Jun.</c:v>
                </c:pt>
                <c:pt idx="11">
                  <c:v>Jul.</c:v>
                </c:pt>
              </c:strCache>
            </c:strRef>
          </c:cat>
          <c:val>
            <c:numRef>
              <c:f>'Figure 3'!$B$3:$B$14</c:f>
              <c:numCache>
                <c:formatCode>0</c:formatCode>
                <c:ptCount val="12"/>
                <c:pt idx="0">
                  <c:v>778.31818181818198</c:v>
                </c:pt>
                <c:pt idx="1">
                  <c:v>765.90909090909088</c:v>
                </c:pt>
                <c:pt idx="2">
                  <c:v>804.66666666666663</c:v>
                </c:pt>
                <c:pt idx="3">
                  <c:v>870.72727272727275</c:v>
                </c:pt>
                <c:pt idx="4">
                  <c:v>856</c:v>
                </c:pt>
                <c:pt idx="5">
                  <c:v>866.52380952380952</c:v>
                </c:pt>
                <c:pt idx="6">
                  <c:v>866.35</c:v>
                </c:pt>
                <c:pt idx="7">
                  <c:v>940.95652173913038</c:v>
                </c:pt>
                <c:pt idx="8">
                  <c:v>979.61904761904759</c:v>
                </c:pt>
                <c:pt idx="9">
                  <c:v>963.31818181818187</c:v>
                </c:pt>
                <c:pt idx="10">
                  <c:v>865.59090909090912</c:v>
                </c:pt>
                <c:pt idx="11">
                  <c:v>720.04761904761904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F5-46CC-84C8-AA63411F7B61}"/>
            </c:ext>
          </c:extLst>
        </c:ser>
        <c:ser>
          <c:idx val="0"/>
          <c:order val="1"/>
          <c:tx>
            <c:strRef>
              <c:f>'Figure 3'!$C$2</c:f>
              <c:strCache>
                <c:ptCount val="1"/>
                <c:pt idx="0">
                  <c:v>2022/23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'Figure 3'!$C$3:$C$14</c:f>
              <c:numCache>
                <c:formatCode>0</c:formatCode>
                <c:ptCount val="12"/>
                <c:pt idx="0">
                  <c:v>702.73913043478262</c:v>
                </c:pt>
                <c:pt idx="1">
                  <c:v>655.22727272727275</c:v>
                </c:pt>
                <c:pt idx="2">
                  <c:v>681.1</c:v>
                </c:pt>
                <c:pt idx="3">
                  <c:v>689.59090909090912</c:v>
                </c:pt>
                <c:pt idx="4">
                  <c:v>683.77272727272725</c:v>
                </c:pt>
                <c:pt idx="5">
                  <c:v>672.63636363636363</c:v>
                </c:pt>
                <c:pt idx="6">
                  <c:v>666.5</c:v>
                </c:pt>
                <c:pt idx="7">
                  <c:v>620.39130434782612</c:v>
                </c:pt>
                <c:pt idx="8">
                  <c:v>604.54999999999995</c:v>
                </c:pt>
                <c:pt idx="9">
                  <c:v>572.86956521739125</c:v>
                </c:pt>
                <c:pt idx="10">
                  <c:v>581.72727272727275</c:v>
                </c:pt>
                <c:pt idx="11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F5-46CC-84C8-AA63411F7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Date</a:t>
                </a:r>
              </a:p>
            </c:rich>
          </c:tx>
          <c:layout>
            <c:manualLayout>
              <c:xMode val="edge"/>
              <c:yMode val="edge"/>
              <c:x val="0.46513370442745483"/>
              <c:y val="0.854514611258876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tickMarkSkip val="1"/>
        <c:noMultiLvlLbl val="0"/>
      </c:catAx>
      <c:valAx>
        <c:axId val="667170632"/>
        <c:scaling>
          <c:orientation val="minMax"/>
          <c:max val="1000"/>
          <c:min val="3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Dollars</a:t>
                </a:r>
                <a:r>
                  <a:rPr lang="en-US" sz="900" baseline="0"/>
                  <a:t> per</a:t>
                </a:r>
                <a:r>
                  <a:rPr lang="en-US" sz="900"/>
                  <a:t> metric ton</a:t>
                </a:r>
              </a:p>
            </c:rich>
          </c:tx>
          <c:layout>
            <c:manualLayout>
              <c:xMode val="edge"/>
              <c:yMode val="edge"/>
              <c:x val="8.1457655807230748E-3"/>
              <c:y val="0.159795775946066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825838762034763"/>
          <c:y val="0.11412416700217586"/>
          <c:w val="0.25593748203615629"/>
          <c:h val="6.1328660405295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501014</xdr:colOff>
      <xdr:row>0</xdr:row>
      <xdr:rowOff>150495</xdr:rowOff>
    </xdr:from>
    <xdr:to>
      <xdr:col>14</xdr:col>
      <xdr:colOff>594359</xdr:colOff>
      <xdr:row>22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B8D407-07D6-4E20-9479-8D407A160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0.00254</cdr:x>
      <cdr:y>0.74422</cdr:y>
    </cdr:from>
    <cdr:to>
      <cdr:x>0.99393</cdr:x>
      <cdr:y>0.99321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8F93A74A-6ABF-4BFB-9669-1E205E5DACBB}"/>
            </a:ext>
          </a:extLst>
        </cdr:cNvPr>
        <cdr:cNvSpPr/>
      </cdr:nvSpPr>
      <cdr:spPr>
        <a:xfrm xmlns:a="http://schemas.openxmlformats.org/drawingml/2006/main">
          <a:off x="14521" y="2638426"/>
          <a:ext cx="5667682" cy="882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</a:t>
          </a:r>
          <a:r>
            <a:rPr lang="en-US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Delta: Arkansas, Louisiana, and Mississippi; Eastern Corn Belt: Illinois, Indiana, Ohio, Michigan, and Wisconsin; Western Corn Belt: Iowa, Minnesota, and Missouri; Central Plains: Kansas and Nebraska; Northern Plains: North Dakota and South Dakota; and "Other" includes remaining States. </a:t>
          </a:r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Asterisk (*) denotes</a:t>
          </a:r>
          <a:r>
            <a:rPr lang="en-US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August forecast. Marketing years begin September 1 and end August 31.</a:t>
          </a:r>
        </a:p>
        <a:p xmlns:a="http://schemas.openxmlformats.org/drawingml/2006/main"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</a:t>
          </a:r>
          <a:r>
            <a:rPr lang="en-US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National</a:t>
          </a:r>
          <a:r>
            <a:rPr lang="en-US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Agricultural Statistics Service Quickstats </a:t>
          </a:r>
          <a:r>
            <a:rPr lang="en-US" sz="90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</a:t>
          </a:r>
          <a:r>
            <a:rPr lang="en-US" sz="9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90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0.01448</cdr:x>
      <cdr:y>0.13363</cdr:y>
    </cdr:from>
    <cdr:to>
      <cdr:x>0.16654</cdr:x>
      <cdr:y>0.1804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FF2DE771-20AE-430C-AADC-FDC5E004D32C}"/>
            </a:ext>
          </a:extLst>
        </cdr:cNvPr>
        <cdr:cNvSpPr/>
      </cdr:nvSpPr>
      <cdr:spPr bwMode="auto">
        <a:xfrm xmlns:a="http://schemas.openxmlformats.org/drawingml/2006/main">
          <a:off x="76191" y="457200"/>
          <a:ext cx="800111" cy="1600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Million bushels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0</xdr:row>
      <xdr:rowOff>0</xdr:rowOff>
    </xdr:from>
    <xdr:to>
      <xdr:col>19</xdr:col>
      <xdr:colOff>53340</xdr:colOff>
      <xdr:row>22</xdr:row>
      <xdr:rowOff>15240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5B5733D9-9587-460D-AE5F-104EA64A8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0.87711</cdr:y>
    </cdr:from>
    <cdr:to>
      <cdr:x>1</cdr:x>
      <cdr:y>0.99409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467100"/>
          <a:ext cx="6543675" cy="4624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Note: "Other"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includes Arkansas, Mississippi, New Mexico, Oklahoma, Texas, and Virginia.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National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Agricultural Statistics Service Quickstats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200022</xdr:colOff>
      <xdr:row>0</xdr:row>
      <xdr:rowOff>0</xdr:rowOff>
    </xdr:from>
    <xdr:to>
      <xdr:col>14</xdr:col>
      <xdr:colOff>276225</xdr:colOff>
      <xdr:row>22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074A63-EF8E-4747-9246-3F6663793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0.90604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4128607"/>
          <a:ext cx="6730368" cy="428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International Grains Council.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6"/>
  <sheetViews>
    <sheetView tabSelected="1" workbookViewId="0"/>
  </sheetViews>
  <sheetFormatPr defaultColWidth="9.6640625" defaultRowHeight="13.8"/>
  <cols>
    <col min="1" max="1" width="166.88671875" style="12" customWidth="1"/>
    <col min="2" max="16384" width="9.6640625" style="1"/>
  </cols>
  <sheetData>
    <row r="1" spans="1:3">
      <c r="A1" s="7" t="s">
        <v>0</v>
      </c>
      <c r="B1" s="101"/>
      <c r="C1" s="101"/>
    </row>
    <row r="2" spans="1:3" s="2" customFormat="1">
      <c r="A2" s="8"/>
    </row>
    <row r="3" spans="1:3">
      <c r="A3" s="10" t="s">
        <v>1</v>
      </c>
      <c r="B3" s="3"/>
      <c r="C3" s="2"/>
    </row>
    <row r="4" spans="1:3">
      <c r="A4" s="10" t="s">
        <v>2</v>
      </c>
      <c r="B4" s="4"/>
      <c r="C4" s="101"/>
    </row>
    <row r="5" spans="1:3">
      <c r="A5" s="10" t="s">
        <v>3</v>
      </c>
      <c r="B5" s="4"/>
      <c r="C5" s="101"/>
    </row>
    <row r="6" spans="1:3">
      <c r="A6" s="10" t="s">
        <v>4</v>
      </c>
      <c r="B6" s="4"/>
      <c r="C6" s="101"/>
    </row>
    <row r="7" spans="1:3">
      <c r="A7" s="10" t="s">
        <v>5</v>
      </c>
      <c r="B7" s="4"/>
      <c r="C7" s="101"/>
    </row>
    <row r="8" spans="1:3">
      <c r="A8" s="10" t="s">
        <v>6</v>
      </c>
      <c r="B8" s="4"/>
      <c r="C8" s="101"/>
    </row>
    <row r="9" spans="1:3">
      <c r="A9" s="10" t="s">
        <v>7</v>
      </c>
      <c r="B9" s="4"/>
      <c r="C9" s="101"/>
    </row>
    <row r="10" spans="1:3">
      <c r="A10" s="10" t="s">
        <v>8</v>
      </c>
      <c r="B10" s="4"/>
      <c r="C10" s="101"/>
    </row>
    <row r="11" spans="1:3">
      <c r="A11" s="10" t="s">
        <v>9</v>
      </c>
      <c r="B11" s="4"/>
      <c r="C11" s="101"/>
    </row>
    <row r="12" spans="1:3">
      <c r="A12" s="10" t="s">
        <v>10</v>
      </c>
      <c r="B12" s="4"/>
      <c r="C12" s="101"/>
    </row>
    <row r="13" spans="1:3">
      <c r="A13" s="11" t="s">
        <v>11</v>
      </c>
      <c r="B13" s="4"/>
      <c r="C13" s="101"/>
    </row>
    <row r="14" spans="1:3" ht="13.2">
      <c r="A14" s="101"/>
      <c r="B14" s="101"/>
      <c r="C14" s="101"/>
    </row>
    <row r="15" spans="1:3">
      <c r="A15" s="7" t="s">
        <v>12</v>
      </c>
      <c r="B15" s="101"/>
      <c r="C15" s="101"/>
    </row>
    <row r="16" spans="1:3">
      <c r="A16" s="9">
        <v>45153</v>
      </c>
      <c r="B16" s="101"/>
      <c r="C16" s="101"/>
    </row>
  </sheetData>
  <hyperlinks>
    <hyperlink ref="A3" location="'Table 1'!A1" display="Table 1--Soybeans:  Annual U.S. supply and disappearance" xr:uid="{00000000-0004-0000-0000-000000000000}"/>
    <hyperlink ref="A4" location="'Table 2'!A1" display="Table 2--Soybean meal:  U.S. supply and disappearance" xr:uid="{00000000-0004-0000-0000-000001000000}"/>
    <hyperlink ref="A5" location="'Table 3'!A1" display="Table 3--Soybean oil:  U.S. supply and disappearance" xr:uid="{00000000-0004-0000-0000-000002000000}"/>
    <hyperlink ref="A6" location="'Tables 4-7'!A1" display="Table 4--Cottonseed:  U.S. supply and disappearance" xr:uid="{00000000-0004-0000-0000-000003000000}"/>
    <hyperlink ref="A7" location="'Tables 4-7'!A1" display="Table 5--Cottonseed meal:  U.S. supply and disappearance" xr:uid="{00000000-0004-0000-0000-000004000000}"/>
    <hyperlink ref="A8" location="'Tables 4-7'!A1" display="Table 6--Cottonseed oil:  U.S. supply and disappearance" xr:uid="{00000000-0004-0000-0000-000005000000}"/>
    <hyperlink ref="A9" location="'Tables 4-7'!A1" display="Table 7--Peanuts:  U.S. supply and disappearance" xr:uid="{00000000-0004-0000-0000-000006000000}"/>
    <hyperlink ref="A10" location="'Table 8'!A1" display="Table 8--Oilseed prices received by U.S. farmers" xr:uid="{00000000-0004-0000-0000-000007000000}"/>
    <hyperlink ref="A11" location="'Table 9'!A1" display="Table 9--U.S. vegetable oil and fats prices" xr:uid="{00000000-0004-0000-0000-000008000000}"/>
    <hyperlink ref="A12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43"/>
  <sheetViews>
    <sheetView showGridLines="0"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3.2"/>
  <cols>
    <col min="1" max="1" width="21.6640625" customWidth="1"/>
    <col min="2" max="2" width="14.109375" customWidth="1"/>
    <col min="3" max="3" width="9.5546875" customWidth="1"/>
    <col min="4" max="4" width="26.6640625" customWidth="1"/>
    <col min="5" max="5" width="9.6640625" customWidth="1"/>
    <col min="6" max="6" width="10.6640625" customWidth="1"/>
    <col min="7" max="7" width="8.6640625" bestFit="1" customWidth="1"/>
    <col min="8" max="8" width="9.6640625" customWidth="1"/>
    <col min="9" max="9" width="1.6640625" customWidth="1"/>
    <col min="10" max="10" width="12.44140625" customWidth="1"/>
    <col min="11" max="12" width="10.6640625" customWidth="1"/>
    <col min="13" max="13" width="10.33203125" customWidth="1"/>
    <col min="14" max="14" width="9.6640625" customWidth="1"/>
    <col min="17" max="17" width="15.44140625" bestFit="1" customWidth="1"/>
    <col min="18" max="18" width="10.109375" bestFit="1" customWidth="1"/>
  </cols>
  <sheetData>
    <row r="1" spans="1:23" ht="13.8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3" ht="13.8">
      <c r="A2" s="15"/>
      <c r="B2" s="16" t="s">
        <v>13</v>
      </c>
      <c r="C2" s="162"/>
      <c r="D2" s="17" t="s">
        <v>14</v>
      </c>
      <c r="E2" s="18"/>
      <c r="F2" s="162" t="s">
        <v>15</v>
      </c>
      <c r="G2" s="162"/>
      <c r="H2" s="162"/>
      <c r="I2" s="15"/>
      <c r="J2" s="18"/>
      <c r="K2" s="162"/>
      <c r="L2" s="19" t="s">
        <v>16</v>
      </c>
      <c r="M2" s="162"/>
      <c r="N2" s="15"/>
    </row>
    <row r="3" spans="1:23" ht="13.8">
      <c r="A3" s="15" t="s">
        <v>17</v>
      </c>
      <c r="B3" s="17" t="s">
        <v>18</v>
      </c>
      <c r="C3" s="15" t="s">
        <v>19</v>
      </c>
      <c r="D3" s="17"/>
      <c r="E3" s="20" t="s">
        <v>20</v>
      </c>
      <c r="F3" s="20"/>
      <c r="G3" s="20"/>
      <c r="H3" s="20"/>
      <c r="I3" s="20"/>
      <c r="J3" s="17" t="s">
        <v>21</v>
      </c>
      <c r="K3" s="20" t="s">
        <v>22</v>
      </c>
      <c r="L3" s="20"/>
      <c r="M3" s="20"/>
      <c r="N3" s="20" t="s">
        <v>23</v>
      </c>
    </row>
    <row r="4" spans="1:23" ht="13.8">
      <c r="A4" s="21" t="s">
        <v>24</v>
      </c>
      <c r="B4" s="22"/>
      <c r="C4" s="22"/>
      <c r="D4" s="22"/>
      <c r="E4" s="23" t="s">
        <v>25</v>
      </c>
      <c r="F4" s="23" t="s">
        <v>26</v>
      </c>
      <c r="G4" s="24" t="s">
        <v>27</v>
      </c>
      <c r="H4" s="25" t="s">
        <v>28</v>
      </c>
      <c r="I4" s="24"/>
      <c r="J4" s="24"/>
      <c r="K4" s="24" t="s">
        <v>29</v>
      </c>
      <c r="L4" s="25" t="s">
        <v>30</v>
      </c>
      <c r="M4" s="23" t="s">
        <v>28</v>
      </c>
      <c r="N4" s="24" t="s">
        <v>25</v>
      </c>
      <c r="W4" s="26"/>
    </row>
    <row r="5" spans="1:23" ht="14.4">
      <c r="A5" s="15"/>
      <c r="B5" s="27" t="s">
        <v>31</v>
      </c>
      <c r="C5" s="163"/>
      <c r="D5" s="28" t="s">
        <v>32</v>
      </c>
      <c r="G5" s="27"/>
      <c r="I5" s="27"/>
      <c r="J5" s="27" t="s">
        <v>33</v>
      </c>
      <c r="K5" s="27"/>
      <c r="L5" s="27"/>
      <c r="M5" s="27"/>
      <c r="N5" s="27"/>
      <c r="W5" s="26"/>
    </row>
    <row r="6" spans="1:23" ht="16.5" customHeight="1">
      <c r="A6" s="15" t="s">
        <v>34</v>
      </c>
      <c r="B6" s="29">
        <v>87.194999999999993</v>
      </c>
      <c r="C6" s="29">
        <v>86.311999999999998</v>
      </c>
      <c r="D6" s="29">
        <f>F6/C6</f>
        <v>51.735355454629712</v>
      </c>
      <c r="E6" s="30">
        <v>256.97899999999998</v>
      </c>
      <c r="F6" s="31">
        <f>F27</f>
        <v>4465.3819999999996</v>
      </c>
      <c r="G6" s="32">
        <f>G27</f>
        <v>15.915255741600001</v>
      </c>
      <c r="H6" s="32">
        <f>SUM(E6:G6)</f>
        <v>4738.2762557415999</v>
      </c>
      <c r="I6" s="15"/>
      <c r="J6" s="31">
        <f>J27</f>
        <v>2203.8901705391709</v>
      </c>
      <c r="K6" s="31">
        <f t="shared" ref="K6" si="0">M6-L6-J6</f>
        <v>107.86113147202877</v>
      </c>
      <c r="L6" s="32">
        <f>L27</f>
        <v>2152.1309537304001</v>
      </c>
      <c r="M6" s="32">
        <f>H6-N6</f>
        <v>4463.8822557415997</v>
      </c>
      <c r="N6" s="32">
        <f>N26</f>
        <v>274.39400000000001</v>
      </c>
    </row>
    <row r="7" spans="1:23" ht="16.5" customHeight="1">
      <c r="A7" s="15" t="s">
        <v>35</v>
      </c>
      <c r="B7" s="29">
        <v>87.45</v>
      </c>
      <c r="C7" s="29">
        <v>86.335999999999999</v>
      </c>
      <c r="D7" s="29">
        <f>F7/C7</f>
        <v>49.528852390659743</v>
      </c>
      <c r="E7" s="30">
        <f>N6</f>
        <v>274.39400000000001</v>
      </c>
      <c r="F7" s="31">
        <v>4276.1229999999996</v>
      </c>
      <c r="G7" s="32">
        <v>30</v>
      </c>
      <c r="H7" s="32">
        <f>SUM(E7:G7)</f>
        <v>4580.5169999999998</v>
      </c>
      <c r="I7" s="15"/>
      <c r="J7" s="31">
        <v>2220</v>
      </c>
      <c r="K7" s="31">
        <v>120.28</v>
      </c>
      <c r="L7" s="32">
        <v>1980</v>
      </c>
      <c r="M7" s="32">
        <f>SUM(J7:L7)</f>
        <v>4320.2800000000007</v>
      </c>
      <c r="N7" s="32">
        <f>H7-M7</f>
        <v>260.23699999999917</v>
      </c>
      <c r="P7" s="125"/>
    </row>
    <row r="8" spans="1:23" ht="16.5" customHeight="1">
      <c r="A8" s="15" t="s">
        <v>36</v>
      </c>
      <c r="B8" s="29">
        <v>83.504999999999995</v>
      </c>
      <c r="C8" s="29">
        <v>82.695999999999998</v>
      </c>
      <c r="D8" s="29">
        <f>F8/C8</f>
        <v>50.854333946019153</v>
      </c>
      <c r="E8" s="30">
        <f>N7</f>
        <v>260.23699999999917</v>
      </c>
      <c r="F8" s="31">
        <v>4205.45</v>
      </c>
      <c r="G8" s="32">
        <v>30</v>
      </c>
      <c r="H8" s="32">
        <f>SUM(E8:G8)</f>
        <v>4495.686999999999</v>
      </c>
      <c r="I8" s="15"/>
      <c r="J8" s="31">
        <v>2300</v>
      </c>
      <c r="K8" s="31">
        <v>125.56</v>
      </c>
      <c r="L8" s="32">
        <v>1825</v>
      </c>
      <c r="M8" s="32">
        <f>SUM(J8:L8)</f>
        <v>4250.5599999999995</v>
      </c>
      <c r="N8" s="32">
        <f>H8-M8</f>
        <v>245.1269999999995</v>
      </c>
      <c r="P8" s="125"/>
    </row>
    <row r="9" spans="1:23" ht="16.5" customHeight="1">
      <c r="A9" s="15"/>
      <c r="B9" s="15"/>
      <c r="C9" s="15"/>
      <c r="D9" s="15"/>
      <c r="E9" s="33"/>
      <c r="F9" s="33"/>
      <c r="G9" s="34"/>
      <c r="H9" s="33"/>
      <c r="I9" s="33"/>
      <c r="J9" s="34"/>
      <c r="K9" s="34"/>
      <c r="L9" s="34"/>
      <c r="M9" s="34"/>
      <c r="N9" s="34"/>
    </row>
    <row r="10" spans="1:23" ht="16.5" customHeight="1">
      <c r="A10" s="35" t="s">
        <v>34</v>
      </c>
      <c r="B10" s="102"/>
      <c r="C10" s="102"/>
      <c r="D10" s="102"/>
      <c r="E10" s="37"/>
      <c r="F10" s="38"/>
      <c r="G10" s="6"/>
      <c r="H10" s="13"/>
      <c r="I10" s="102"/>
      <c r="J10" s="13"/>
      <c r="K10" s="36"/>
      <c r="L10" s="6"/>
      <c r="M10" s="6"/>
      <c r="N10" s="13"/>
    </row>
    <row r="11" spans="1:23" ht="16.5" customHeight="1">
      <c r="A11" s="15" t="s">
        <v>37</v>
      </c>
      <c r="B11" s="102"/>
      <c r="C11" s="102"/>
      <c r="D11" s="107"/>
      <c r="E11" s="37"/>
      <c r="F11" s="38"/>
      <c r="G11" s="6">
        <f>(24488.6*36.744)/1000000</f>
        <v>0.89980911839999989</v>
      </c>
      <c r="I11" s="102"/>
      <c r="J11" s="13">
        <f>((4924574*0.907185)*36.744)/1000000</f>
        <v>164.15380766099736</v>
      </c>
      <c r="K11" s="36"/>
      <c r="L11" s="6">
        <f>(2099065.6*36.744)/1000000</f>
        <v>77.128066406400009</v>
      </c>
      <c r="M11" s="6"/>
      <c r="N11" s="13"/>
      <c r="Q11" s="107"/>
    </row>
    <row r="12" spans="1:23" ht="16.5" customHeight="1">
      <c r="A12" s="15" t="s">
        <v>38</v>
      </c>
      <c r="B12" s="102"/>
      <c r="C12" s="102"/>
      <c r="D12" s="107"/>
      <c r="E12" s="37"/>
      <c r="F12" s="38"/>
      <c r="G12" s="6">
        <f>(19229.4*36.744)/1000000</f>
        <v>0.70656507359999998</v>
      </c>
      <c r="I12" s="102"/>
      <c r="J12" s="13">
        <f>((5908157*0.907185)*36.744)/1000000</f>
        <v>196.9401754972055</v>
      </c>
      <c r="K12" s="36"/>
      <c r="L12" s="6">
        <f>(10694811.7*36.744)/1000000</f>
        <v>392.97016110480001</v>
      </c>
      <c r="M12" s="6"/>
      <c r="N12" s="13"/>
      <c r="Q12" s="107"/>
    </row>
    <row r="13" spans="1:23" ht="16.5" customHeight="1">
      <c r="A13" s="15" t="s">
        <v>39</v>
      </c>
      <c r="B13" s="102"/>
      <c r="C13" s="102"/>
      <c r="D13" s="107"/>
      <c r="E13" s="37"/>
      <c r="F13" s="38"/>
      <c r="G13" s="6">
        <f>(34894.1*36.744)/1000000</f>
        <v>1.2821488103999998</v>
      </c>
      <c r="I13" s="102"/>
      <c r="J13" s="13">
        <f>((5717943*0.907185)*36.744)/1000000</f>
        <v>190.59965703399854</v>
      </c>
      <c r="K13" s="36"/>
      <c r="L13" s="6">
        <f>(10679456.7*36.744)/1000000</f>
        <v>392.40595698479996</v>
      </c>
      <c r="M13" s="6"/>
      <c r="N13" s="13"/>
      <c r="Q13" s="107"/>
    </row>
    <row r="14" spans="1:23" ht="16.5" customHeight="1">
      <c r="A14" s="15" t="s">
        <v>40</v>
      </c>
      <c r="B14" s="102"/>
      <c r="C14" s="102"/>
      <c r="E14" s="37">
        <f>E6</f>
        <v>256.97899999999998</v>
      </c>
      <c r="F14" s="37">
        <f>4465.382</f>
        <v>4465.3819999999996</v>
      </c>
      <c r="G14" s="6">
        <f>SUM(G11:G13)</f>
        <v>2.8885230023999995</v>
      </c>
      <c r="H14" s="13">
        <f>SUM(E14:G14)</f>
        <v>4725.2495230023997</v>
      </c>
      <c r="I14" s="102"/>
      <c r="J14" s="13">
        <f>SUM(J11:J13)</f>
        <v>551.69364019220143</v>
      </c>
      <c r="K14" s="36">
        <f>M14-L14-J14</f>
        <v>174.52769831419835</v>
      </c>
      <c r="L14" s="6">
        <f>SUM(L11:L13)</f>
        <v>862.50418449599999</v>
      </c>
      <c r="M14" s="6">
        <f>H14-N14</f>
        <v>1588.7255230023998</v>
      </c>
      <c r="N14" s="13">
        <v>3136.5239999999999</v>
      </c>
    </row>
    <row r="15" spans="1:23" ht="16.5" customHeight="1">
      <c r="A15" s="15" t="s">
        <v>41</v>
      </c>
      <c r="B15" s="102"/>
      <c r="C15" s="102"/>
      <c r="D15" s="107"/>
      <c r="E15" s="37"/>
      <c r="F15" s="37"/>
      <c r="G15" s="6">
        <f>(27884.8*36.744)/1000000</f>
        <v>1.0245990912</v>
      </c>
      <c r="H15" s="13"/>
      <c r="I15" s="102"/>
      <c r="J15" s="13">
        <f>((5947222*0.907185)*36.744)/1000000</f>
        <v>198.24235280153209</v>
      </c>
      <c r="K15" s="36"/>
      <c r="L15" s="6">
        <f>(7936612.7*36.744)/1000000</f>
        <v>291.62289704879998</v>
      </c>
      <c r="M15" s="6"/>
      <c r="N15" s="13"/>
    </row>
    <row r="16" spans="1:23" ht="16.5" customHeight="1">
      <c r="A16" s="15" t="s">
        <v>42</v>
      </c>
      <c r="B16" s="102"/>
      <c r="C16" s="102"/>
      <c r="D16" s="107"/>
      <c r="E16" s="37"/>
      <c r="F16" s="37"/>
      <c r="G16" s="6">
        <f>(23985.1*36.744)/1000000</f>
        <v>0.88130851440000002</v>
      </c>
      <c r="H16" s="13"/>
      <c r="I16" s="102"/>
      <c r="J16" s="13">
        <f>((5828974*0.907185)*36.744)/1000000</f>
        <v>194.30072060181334</v>
      </c>
      <c r="K16" s="36"/>
      <c r="L16" s="6">
        <f>(6529270.8*36.744)/1000000</f>
        <v>239.91152627519998</v>
      </c>
      <c r="M16" s="6"/>
      <c r="N16" s="13"/>
    </row>
    <row r="17" spans="1:17" ht="16.5" customHeight="1">
      <c r="A17" s="15" t="s">
        <v>43</v>
      </c>
      <c r="B17" s="102"/>
      <c r="C17" s="102"/>
      <c r="D17" s="107"/>
      <c r="E17" s="37"/>
      <c r="F17" s="37"/>
      <c r="G17" s="6">
        <f>(47263.6*36.744)/1000000</f>
        <v>1.7366537183999999</v>
      </c>
      <c r="H17" s="13"/>
      <c r="I17" s="102"/>
      <c r="J17" s="13">
        <f>((5232453*0.907185)*36.744)/1000000</f>
        <v>174.41652483183492</v>
      </c>
      <c r="K17" s="36"/>
      <c r="L17" s="6">
        <f>(3809000.1*36.744)/1000000</f>
        <v>139.95789967440001</v>
      </c>
      <c r="M17" s="6"/>
      <c r="N17" s="13"/>
      <c r="Q17" s="107"/>
    </row>
    <row r="18" spans="1:17" ht="16.5" customHeight="1">
      <c r="A18" s="15" t="s">
        <v>44</v>
      </c>
      <c r="B18" s="102"/>
      <c r="C18" s="102"/>
      <c r="E18" s="37">
        <f>N14</f>
        <v>3136.5239999999999</v>
      </c>
      <c r="F18" s="37"/>
      <c r="G18" s="6">
        <f>SUM(G15:G17)</f>
        <v>3.6425613239999999</v>
      </c>
      <c r="H18" s="13">
        <f>E18+F18+G18</f>
        <v>3140.1665613239998</v>
      </c>
      <c r="I18" s="102"/>
      <c r="J18" s="13">
        <f>SUM(J15:J17)</f>
        <v>566.95959823518035</v>
      </c>
      <c r="K18" s="36">
        <f>M18-L18-J18</f>
        <v>-30.102359909580514</v>
      </c>
      <c r="L18" s="6">
        <f>SUM(L15:L17)</f>
        <v>671.49232299839991</v>
      </c>
      <c r="M18" s="6">
        <f>H18-N18</f>
        <v>1208.3495613239998</v>
      </c>
      <c r="N18" s="13">
        <v>1931.817</v>
      </c>
      <c r="P18" s="39"/>
    </row>
    <row r="19" spans="1:17" ht="16.5" customHeight="1">
      <c r="A19" s="15" t="s">
        <v>45</v>
      </c>
      <c r="B19" s="102"/>
      <c r="C19" s="102"/>
      <c r="D19" s="107"/>
      <c r="E19" s="37"/>
      <c r="F19" s="37"/>
      <c r="G19" s="6">
        <f>(33646.7*36.744)/1000000</f>
        <v>1.2363143447999998</v>
      </c>
      <c r="H19" s="13"/>
      <c r="I19" s="102"/>
      <c r="J19" s="13">
        <f>((5786159*0.907185)*36.744)/1000000</f>
        <v>192.87354227633676</v>
      </c>
      <c r="K19" s="36"/>
      <c r="L19" s="6">
        <f>(3018428.5*36.744)/1000000</f>
        <v>110.909136804</v>
      </c>
      <c r="M19" s="6"/>
      <c r="N19" s="13"/>
      <c r="Q19" s="107"/>
    </row>
    <row r="20" spans="1:17" ht="16.5" customHeight="1">
      <c r="A20" s="15" t="s">
        <v>46</v>
      </c>
      <c r="B20" s="102"/>
      <c r="C20" s="102"/>
      <c r="D20" s="107"/>
      <c r="E20" s="37"/>
      <c r="F20" s="37"/>
      <c r="G20" s="6">
        <f>(49197*36.744)/1000000</f>
        <v>1.8076945680000001</v>
      </c>
      <c r="H20" s="13"/>
      <c r="I20" s="102"/>
      <c r="J20" s="13">
        <f>((5426712*0.907185)*36.744)/1000000</f>
        <v>180.89187772985568</v>
      </c>
      <c r="K20" s="36"/>
      <c r="L20" s="6">
        <f>(3550990.4*36.744)/1000000</f>
        <v>130.47759125759998</v>
      </c>
      <c r="M20" s="6"/>
      <c r="N20" s="13"/>
    </row>
    <row r="21" spans="1:17" ht="16.5" customHeight="1">
      <c r="A21" s="15" t="s">
        <v>47</v>
      </c>
      <c r="B21" s="102"/>
      <c r="C21" s="102"/>
      <c r="D21" s="107"/>
      <c r="E21" s="37"/>
      <c r="F21" s="37"/>
      <c r="G21" s="6">
        <f>(30538.1*36.744)/1000000</f>
        <v>1.1220919464000001</v>
      </c>
      <c r="H21" s="13"/>
      <c r="I21" s="102"/>
      <c r="J21" s="13">
        <f>((5427160*0.907185)*36.744)/1000000</f>
        <v>180.90681118518239</v>
      </c>
      <c r="K21" s="36"/>
      <c r="L21" s="6">
        <f>(2448876.2*36.744)/1000000</f>
        <v>89.981507092800001</v>
      </c>
      <c r="M21" s="6"/>
      <c r="N21" s="13"/>
      <c r="Q21" s="107"/>
    </row>
    <row r="22" spans="1:17" ht="16.5" customHeight="1">
      <c r="A22" s="15" t="s">
        <v>48</v>
      </c>
      <c r="B22" s="102"/>
      <c r="C22" s="102"/>
      <c r="E22" s="37">
        <f>N18</f>
        <v>1931.817</v>
      </c>
      <c r="F22" s="37"/>
      <c r="G22" s="6">
        <f>SUM(G19:G21)</f>
        <v>4.1661008592000002</v>
      </c>
      <c r="H22" s="13">
        <f>E22+F22+G22</f>
        <v>1935.9831008592</v>
      </c>
      <c r="I22" s="102"/>
      <c r="J22" s="13">
        <f>SUM(J19:J21)</f>
        <v>554.67223119137486</v>
      </c>
      <c r="K22" s="36">
        <f>M22-L22-J22</f>
        <v>82.417634513425241</v>
      </c>
      <c r="L22" s="6">
        <f>SUM(L19:L21)</f>
        <v>331.36823515439994</v>
      </c>
      <c r="M22" s="6">
        <f>H22-N22</f>
        <v>968.45810085920004</v>
      </c>
      <c r="N22" s="13">
        <v>967.52499999999998</v>
      </c>
    </row>
    <row r="23" spans="1:17" ht="16.5" customHeight="1">
      <c r="A23" s="15" t="s">
        <v>49</v>
      </c>
      <c r="B23" s="102"/>
      <c r="C23" s="102"/>
      <c r="E23" s="37"/>
      <c r="F23" s="37"/>
      <c r="G23" s="6">
        <f>(21131.7*36.744)/1000000</f>
        <v>0.77646318480000009</v>
      </c>
      <c r="H23" s="13"/>
      <c r="I23" s="102"/>
      <c r="J23" s="13">
        <f>((5222412*0.907185)*36.744)/1000000</f>
        <v>174.08182209760369</v>
      </c>
      <c r="K23" s="36"/>
      <c r="L23" s="6">
        <f>(2256761*36.744)/1000000</f>
        <v>82.922426184000003</v>
      </c>
      <c r="M23" s="6"/>
      <c r="N23" s="13"/>
    </row>
    <row r="24" spans="1:17" ht="16.5" customHeight="1">
      <c r="A24" s="15" t="s">
        <v>50</v>
      </c>
      <c r="B24" s="102"/>
      <c r="C24" s="102"/>
      <c r="E24" s="37"/>
      <c r="F24" s="37"/>
      <c r="G24" s="6">
        <f>(60176.9*36.744)/1000000</f>
        <v>2.2111400136000001</v>
      </c>
      <c r="H24" s="13"/>
      <c r="I24" s="102"/>
      <c r="J24" s="13">
        <f>((5441780*0.907185)*36.744)/1000000</f>
        <v>181.39414849963919</v>
      </c>
      <c r="K24" s="36"/>
      <c r="L24" s="6">
        <f>(2315581.7*36.744)/1000000</f>
        <v>85.083733984800006</v>
      </c>
      <c r="M24" s="6"/>
      <c r="N24" s="13"/>
      <c r="Q24" s="107"/>
    </row>
    <row r="25" spans="1:17" ht="16.5" customHeight="1">
      <c r="A25" s="15" t="s">
        <v>51</v>
      </c>
      <c r="B25" s="102"/>
      <c r="C25" s="102"/>
      <c r="E25" s="37"/>
      <c r="F25" s="37"/>
      <c r="G25" s="6">
        <f>(60702.9*36.744)/1000000</f>
        <v>2.2304673576000003</v>
      </c>
      <c r="H25" s="13"/>
      <c r="I25" s="102"/>
      <c r="J25" s="13">
        <f>((5252619*0.907185)*36.744)/1000000</f>
        <v>175.08873032317118</v>
      </c>
      <c r="K25" s="36"/>
      <c r="L25" s="6">
        <f>(3232093.8*36.744)/1000000</f>
        <v>118.76005458719999</v>
      </c>
      <c r="M25" s="6"/>
      <c r="N25" s="13"/>
    </row>
    <row r="26" spans="1:17" ht="16.5" customHeight="1">
      <c r="A26" s="15" t="s">
        <v>52</v>
      </c>
      <c r="B26" s="102"/>
      <c r="C26" s="102"/>
      <c r="E26" s="37">
        <f>N22</f>
        <v>967.52499999999998</v>
      </c>
      <c r="F26" s="37"/>
      <c r="G26" s="6">
        <f>SUM(G23:G25)</f>
        <v>5.2180705560000007</v>
      </c>
      <c r="H26" s="13">
        <f>E26+F26+G26</f>
        <v>972.74307055600002</v>
      </c>
      <c r="I26" s="102"/>
      <c r="J26" s="13">
        <f>SUM(J23:J25)</f>
        <v>530.564700920414</v>
      </c>
      <c r="K26" s="36">
        <f>M26-L26-J26</f>
        <v>-118.98184512041399</v>
      </c>
      <c r="L26" s="6">
        <f>SUM(L23:L25)</f>
        <v>286.76621475600001</v>
      </c>
      <c r="M26" s="6">
        <f>H26-N26</f>
        <v>698.34907055600002</v>
      </c>
      <c r="N26" s="13">
        <f>274.394</f>
        <v>274.39400000000001</v>
      </c>
    </row>
    <row r="27" spans="1:17" ht="16.5" customHeight="1">
      <c r="A27" s="15" t="s">
        <v>28</v>
      </c>
      <c r="B27" s="102"/>
      <c r="C27" s="102"/>
      <c r="D27" s="102"/>
      <c r="E27" s="37"/>
      <c r="F27" s="37">
        <f>F14</f>
        <v>4465.3819999999996</v>
      </c>
      <c r="G27" s="6">
        <f>(433138.9*36.744)/1000000</f>
        <v>15.915255741600001</v>
      </c>
      <c r="H27" s="13">
        <f>E14+F27+G27</f>
        <v>4738.2762557415999</v>
      </c>
      <c r="I27" s="102"/>
      <c r="J27" s="13">
        <f>SUM(J14,J18,J22,J26)</f>
        <v>2203.8901705391709</v>
      </c>
      <c r="K27" s="36">
        <f>SUM(K14,K18,K22,K26)</f>
        <v>107.86112779762908</v>
      </c>
      <c r="L27" s="130">
        <f>(58570949.1*36.744)/1000000</f>
        <v>2152.1309537304001</v>
      </c>
      <c r="M27" s="6">
        <f>SUM(M14,M18,M22,M26)</f>
        <v>4463.8822557415997</v>
      </c>
      <c r="N27" s="13"/>
      <c r="Q27" s="107"/>
    </row>
    <row r="28" spans="1:17" ht="16.5" customHeight="1">
      <c r="A28" s="15"/>
      <c r="B28" s="102"/>
      <c r="C28" s="102"/>
      <c r="D28" s="102"/>
      <c r="E28" s="37"/>
      <c r="F28" s="37"/>
      <c r="G28" s="6"/>
      <c r="H28" s="13"/>
      <c r="I28" s="102"/>
      <c r="J28" s="13"/>
      <c r="K28" s="36"/>
      <c r="L28" s="6"/>
      <c r="M28" s="6"/>
      <c r="N28" s="13"/>
    </row>
    <row r="29" spans="1:17" ht="16.5" customHeight="1">
      <c r="A29" s="35" t="s">
        <v>53</v>
      </c>
      <c r="B29" s="102"/>
      <c r="C29" s="102"/>
      <c r="D29" s="102"/>
      <c r="E29" s="37"/>
      <c r="F29" s="37"/>
      <c r="G29" s="6"/>
      <c r="H29" s="13"/>
      <c r="I29" s="102"/>
      <c r="J29" s="13"/>
      <c r="K29" s="36"/>
      <c r="L29" s="6"/>
      <c r="M29" s="6"/>
      <c r="N29" s="13"/>
    </row>
    <row r="30" spans="1:17" ht="16.5" customHeight="1">
      <c r="A30" s="15" t="s">
        <v>37</v>
      </c>
      <c r="B30" s="102"/>
      <c r="C30" s="102"/>
      <c r="D30" s="102"/>
      <c r="E30" s="37"/>
      <c r="F30" s="37"/>
      <c r="G30" s="6">
        <f>(31794.8*36.744)/1000000</f>
        <v>1.1682681311999998</v>
      </c>
      <c r="H30" s="13"/>
      <c r="I30" s="102"/>
      <c r="J30" s="6">
        <f>((5028287*0.907185)*36.744)/1000000</f>
        <v>167.6109359027387</v>
      </c>
      <c r="K30" s="36"/>
      <c r="L30" s="6">
        <f>(2077930.3*36.744)/1000000</f>
        <v>76.351470943200013</v>
      </c>
      <c r="M30" s="6"/>
      <c r="N30" s="13"/>
    </row>
    <row r="31" spans="1:17" ht="16.5" customHeight="1">
      <c r="A31" s="15" t="s">
        <v>38</v>
      </c>
      <c r="B31" s="102"/>
      <c r="C31" s="102"/>
      <c r="D31" s="102"/>
      <c r="E31" s="37"/>
      <c r="F31" s="37"/>
      <c r="G31" s="6">
        <f>(33827.2*36.744)/1000000</f>
        <v>1.2429466367999999</v>
      </c>
      <c r="H31" s="13"/>
      <c r="I31" s="102"/>
      <c r="J31" s="6">
        <f>((5899694*0.907185)*36.744)/1000000</f>
        <v>196.65807319267415</v>
      </c>
      <c r="K31" s="36"/>
      <c r="L31" s="6">
        <f>(9947619.5*36.744)/1000000</f>
        <v>365.51533090800001</v>
      </c>
      <c r="M31" s="6"/>
      <c r="N31" s="13"/>
    </row>
    <row r="32" spans="1:17" ht="16.5" customHeight="1">
      <c r="A32" s="15" t="s">
        <v>39</v>
      </c>
      <c r="B32" s="102"/>
      <c r="C32" s="102"/>
      <c r="D32" s="102"/>
      <c r="E32" s="37"/>
      <c r="F32" s="37"/>
      <c r="G32" s="6">
        <f>(35058.7*36.744)/1000000</f>
        <v>1.2881968727999997</v>
      </c>
      <c r="H32" s="13"/>
      <c r="I32" s="102"/>
      <c r="J32" s="6">
        <f>((5687098*0.907185)*36.744)/1000000</f>
        <v>189.57148196803271</v>
      </c>
      <c r="K32" s="36"/>
      <c r="L32" s="6">
        <f>(9794669.4*36.744)/1000000</f>
        <v>359.8953324336</v>
      </c>
      <c r="M32" s="6"/>
      <c r="N32" s="13"/>
    </row>
    <row r="33" spans="1:73" ht="16.5" customHeight="1">
      <c r="A33" s="15" t="s">
        <v>40</v>
      </c>
      <c r="B33" s="102"/>
      <c r="C33" s="102"/>
      <c r="D33" s="102"/>
      <c r="E33" s="37">
        <f>N26</f>
        <v>274.39400000000001</v>
      </c>
      <c r="F33" s="114">
        <f>4276.123</f>
        <v>4276.1229999999996</v>
      </c>
      <c r="G33" s="6">
        <f>SUM(G30:G32)</f>
        <v>3.6994116407999993</v>
      </c>
      <c r="H33" s="13">
        <f>SUM(E33:G33)</f>
        <v>4554.2164116407994</v>
      </c>
      <c r="I33" s="102"/>
      <c r="J33" s="6">
        <f>SUM(J30:J32)</f>
        <v>553.8404910634456</v>
      </c>
      <c r="K33" s="36">
        <f>M33-L33-J33</f>
        <v>177.46178629255371</v>
      </c>
      <c r="L33" s="6">
        <f>SUM(L30:L32)</f>
        <v>801.76213428480003</v>
      </c>
      <c r="M33" s="6">
        <f>H33-N33</f>
        <v>1533.0644116407993</v>
      </c>
      <c r="N33" s="13">
        <f>3021.152</f>
        <v>3021.152</v>
      </c>
    </row>
    <row r="34" spans="1:73" ht="16.5" customHeight="1">
      <c r="A34" s="15" t="s">
        <v>41</v>
      </c>
      <c r="B34" s="102"/>
      <c r="C34" s="102"/>
      <c r="D34" s="102"/>
      <c r="E34" s="37"/>
      <c r="F34" s="114"/>
      <c r="G34" s="6">
        <f>(36017.3*36.744)/1000000</f>
        <v>1.3234196711999999</v>
      </c>
      <c r="H34" s="13"/>
      <c r="I34" s="102"/>
      <c r="J34" s="6">
        <f>((5622561*0.907185)*36.744)/1000000</f>
        <v>187.42023106084403</v>
      </c>
      <c r="K34" s="36"/>
      <c r="L34" s="6">
        <f>(7968849.1*36.744)/1000000</f>
        <v>292.80739133039998</v>
      </c>
      <c r="M34" s="6"/>
      <c r="N34" s="13"/>
    </row>
    <row r="35" spans="1:73" ht="16.5" customHeight="1">
      <c r="A35" s="15" t="s">
        <v>42</v>
      </c>
      <c r="B35" s="102"/>
      <c r="C35" s="102"/>
      <c r="D35" s="102"/>
      <c r="E35" s="37"/>
      <c r="F35" s="114"/>
      <c r="G35" s="6">
        <f>(5893.9*36.744)/1000000</f>
        <v>0.21656546159999998</v>
      </c>
      <c r="H35" s="13"/>
      <c r="I35" s="102"/>
      <c r="J35" s="6">
        <f>((5734398*0.907185)*36.744)/1000000</f>
        <v>191.14816151480471</v>
      </c>
      <c r="K35" s="36"/>
      <c r="L35" s="6">
        <f>(8559125.5*36.744)/1000000</f>
        <v>314.496507372</v>
      </c>
      <c r="M35" s="6"/>
      <c r="N35" s="13"/>
    </row>
    <row r="36" spans="1:73" ht="16.5" customHeight="1">
      <c r="A36" s="15" t="s">
        <v>43</v>
      </c>
      <c r="B36" s="102"/>
      <c r="C36" s="102"/>
      <c r="D36" s="102"/>
      <c r="E36" s="37"/>
      <c r="F36" s="114"/>
      <c r="G36" s="6">
        <f>(27761.8*36.744)/1000000</f>
        <v>1.0200795791999999</v>
      </c>
      <c r="H36" s="13"/>
      <c r="I36" s="102"/>
      <c r="J36" s="6">
        <f>((5306995*0.907185)*36.744)/1000000</f>
        <v>176.9012784634518</v>
      </c>
      <c r="K36" s="36"/>
      <c r="L36" s="6">
        <f>(5374314*36.744)/1000000</f>
        <v>197.47379361599999</v>
      </c>
      <c r="M36" s="6"/>
      <c r="N36" s="13"/>
      <c r="P36" s="39"/>
    </row>
    <row r="37" spans="1:73" ht="16.5" customHeight="1">
      <c r="A37" s="15" t="s">
        <v>44</v>
      </c>
      <c r="B37" s="102"/>
      <c r="C37" s="102"/>
      <c r="D37" s="102"/>
      <c r="E37" s="37">
        <f>N33</f>
        <v>3021.152</v>
      </c>
      <c r="F37" s="114"/>
      <c r="G37" s="6">
        <f>SUM(G34:G36)</f>
        <v>2.560064712</v>
      </c>
      <c r="H37" s="13">
        <f>SUM(E37:G37)</f>
        <v>3023.712064712</v>
      </c>
      <c r="I37" s="102"/>
      <c r="J37" s="6">
        <f>SUM(J34:J36)</f>
        <v>555.4696710391006</v>
      </c>
      <c r="K37" s="36">
        <f>M37-L37-J37</f>
        <v>-23.167298645500523</v>
      </c>
      <c r="L37" s="6">
        <f>SUM(L34:L36)</f>
        <v>804.77769231839989</v>
      </c>
      <c r="M37" s="6">
        <f>H37-N37</f>
        <v>1337.080064712</v>
      </c>
      <c r="N37" s="13">
        <f>1686.632</f>
        <v>1686.6320000000001</v>
      </c>
    </row>
    <row r="38" spans="1:73" ht="16.5" customHeight="1">
      <c r="A38" s="15" t="s">
        <v>45</v>
      </c>
      <c r="B38" s="102"/>
      <c r="C38" s="102"/>
      <c r="D38" s="102"/>
      <c r="E38" s="37"/>
      <c r="F38" s="114"/>
      <c r="G38" s="6">
        <f>(34752.6*36.744)/1000000</f>
        <v>1.2769495343999999</v>
      </c>
      <c r="H38" s="13"/>
      <c r="I38" s="102"/>
      <c r="J38" s="6">
        <f>((5939012*0.907185)*36.744)/1000000</f>
        <v>197.9686838992277</v>
      </c>
      <c r="K38" s="36"/>
      <c r="L38" s="6">
        <f>(3135729.4*36.744)/1000000</f>
        <v>115.21924107359999</v>
      </c>
      <c r="M38" s="6"/>
      <c r="N38" s="13"/>
    </row>
    <row r="39" spans="1:73" ht="16.5" customHeight="1">
      <c r="A39" s="15" t="s">
        <v>46</v>
      </c>
      <c r="B39" s="102"/>
      <c r="C39" s="102"/>
      <c r="D39" s="102"/>
      <c r="E39" s="37"/>
      <c r="F39" s="114"/>
      <c r="G39" s="6">
        <f>(8485.3*36.744)/1000000</f>
        <v>0.31178386319999996</v>
      </c>
      <c r="H39" s="13"/>
      <c r="I39" s="102"/>
      <c r="J39" s="6">
        <f>((5609607*0.907185)*36.744)/1000000</f>
        <v>186.98842753338349</v>
      </c>
      <c r="K39" s="36"/>
      <c r="L39" s="6">
        <f>(2554266.9*36.744)/1000000</f>
        <v>93.853982973599997</v>
      </c>
      <c r="M39" s="6"/>
      <c r="N39" s="13"/>
    </row>
    <row r="40" spans="1:73" ht="16.5" customHeight="1">
      <c r="A40" s="15" t="s">
        <v>47</v>
      </c>
      <c r="B40" s="102"/>
      <c r="C40" s="102"/>
      <c r="D40" s="102"/>
      <c r="E40" s="37"/>
      <c r="F40" s="114"/>
      <c r="G40" s="6">
        <f>(126995.3*36.744)/1000000</f>
        <v>4.6663153032000002</v>
      </c>
      <c r="H40" s="13"/>
      <c r="I40" s="102"/>
      <c r="J40" s="6">
        <f>((5679096*0.907185)*36.744)/1000000</f>
        <v>189.30474645570143</v>
      </c>
      <c r="K40" s="36"/>
      <c r="L40" s="6">
        <f>(986447.6*36.744)/1000000</f>
        <v>36.246030614399999</v>
      </c>
      <c r="M40" s="6"/>
      <c r="N40" s="13"/>
    </row>
    <row r="41" spans="1:73" ht="16.5" customHeight="1">
      <c r="A41" s="15" t="s">
        <v>48</v>
      </c>
      <c r="B41" s="102"/>
      <c r="C41" s="102"/>
      <c r="D41" s="102"/>
      <c r="E41" s="37">
        <f>N37</f>
        <v>1686.6320000000001</v>
      </c>
      <c r="F41" s="114"/>
      <c r="G41" s="6">
        <f>SUM(G38:G40)</f>
        <v>6.2550487007999998</v>
      </c>
      <c r="H41" s="13">
        <f>SUM(E41:G41)</f>
        <v>1692.8870487008001</v>
      </c>
      <c r="I41" s="102"/>
      <c r="J41" s="6">
        <f>SUM(J38:J40)</f>
        <v>574.26185788831265</v>
      </c>
      <c r="K41" s="36">
        <f>M41-L41-J41</f>
        <v>77.734936150887393</v>
      </c>
      <c r="L41" s="6">
        <f>SUM(L38:L40)</f>
        <v>245.31925466159998</v>
      </c>
      <c r="M41" s="6">
        <f>H41-N41</f>
        <v>897.31604870080002</v>
      </c>
      <c r="N41" s="13">
        <f>795.571</f>
        <v>795.57100000000003</v>
      </c>
    </row>
    <row r="42" spans="1:73" ht="16.5" customHeight="1">
      <c r="A42" s="15" t="s">
        <v>49</v>
      </c>
      <c r="B42" s="102"/>
      <c r="C42" s="102"/>
      <c r="D42" s="102"/>
      <c r="E42" s="37"/>
      <c r="F42" s="114"/>
      <c r="G42" s="6">
        <f>(166679*36.744)/1000000</f>
        <v>6.1244531760000003</v>
      </c>
      <c r="H42" s="13"/>
      <c r="I42" s="102"/>
      <c r="J42" s="6">
        <f>((5236516*0.907185)*36.744)/1000000</f>
        <v>174.55195927155023</v>
      </c>
      <c r="K42" s="36"/>
      <c r="L42" s="6">
        <f>(831037.3*36.744)/1000000</f>
        <v>30.535634551200001</v>
      </c>
      <c r="M42" s="6"/>
      <c r="N42" s="13"/>
    </row>
    <row r="43" spans="1:73" ht="16.5" customHeight="1">
      <c r="A43" s="15" t="s">
        <v>28</v>
      </c>
      <c r="B43" s="102"/>
      <c r="C43" s="102"/>
      <c r="D43" s="102"/>
      <c r="E43" s="37"/>
      <c r="F43" s="114"/>
      <c r="G43" s="6">
        <f>SUM(G33,G37,G41,G42)</f>
        <v>18.638978229599999</v>
      </c>
      <c r="H43" s="121"/>
      <c r="I43" s="102"/>
      <c r="J43" s="6">
        <f>SUM(J33,J37,J41,J42)</f>
        <v>1858.123979262409</v>
      </c>
      <c r="K43" s="36"/>
      <c r="L43" s="6">
        <f>SUM(L33,L37,L41,L42)</f>
        <v>1882.3947158159999</v>
      </c>
      <c r="M43" s="6"/>
      <c r="N43" s="13"/>
    </row>
    <row r="44" spans="1:73" ht="16.5" customHeight="1">
      <c r="A44" s="98" t="s">
        <v>54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99"/>
      <c r="M44" s="80"/>
      <c r="N44" s="80"/>
    </row>
    <row r="45" spans="1:73" ht="16.5" customHeight="1">
      <c r="A45" s="15" t="s">
        <v>55</v>
      </c>
      <c r="B45" s="15"/>
      <c r="C45" s="15"/>
      <c r="D45" s="15"/>
      <c r="E45" s="40"/>
      <c r="F45" s="40"/>
      <c r="G45" s="40"/>
      <c r="H45" s="40"/>
      <c r="I45" s="40"/>
      <c r="J45" s="40"/>
      <c r="K45" s="40"/>
      <c r="L45" s="40"/>
      <c r="M45" s="40"/>
      <c r="N45" s="40"/>
    </row>
    <row r="46" spans="1:73" ht="16.5" customHeight="1">
      <c r="A46" s="20" t="s">
        <v>56</v>
      </c>
      <c r="B46" s="41">
        <f>Contents!A16</f>
        <v>45153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02"/>
      <c r="P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</row>
    <row r="47" spans="1:73">
      <c r="O47" s="102"/>
      <c r="P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</row>
    <row r="48" spans="1:73">
      <c r="O48" s="102"/>
      <c r="P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</row>
    <row r="49" spans="10:73">
      <c r="O49" s="102"/>
      <c r="P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</row>
    <row r="50" spans="10:73">
      <c r="O50" s="102"/>
      <c r="P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</row>
    <row r="51" spans="10:73">
      <c r="J51" s="39"/>
      <c r="L51" s="39"/>
      <c r="O51" s="102"/>
      <c r="P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</row>
    <row r="52" spans="10:73">
      <c r="J52" s="39"/>
      <c r="L52" s="39"/>
      <c r="O52" s="102"/>
      <c r="P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</row>
    <row r="53" spans="10:73">
      <c r="J53" s="39"/>
      <c r="L53" s="39"/>
      <c r="O53" s="102"/>
      <c r="P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</row>
    <row r="54" spans="10:73">
      <c r="O54" s="102"/>
      <c r="P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</row>
    <row r="55" spans="10:73">
      <c r="O55" s="102"/>
      <c r="P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</row>
    <row r="56" spans="10:73">
      <c r="O56" s="102"/>
      <c r="P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</row>
    <row r="57" spans="10:73">
      <c r="O57" s="102"/>
      <c r="P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</row>
    <row r="58" spans="10:73">
      <c r="O58" s="102"/>
      <c r="P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</row>
    <row r="59" spans="10:73">
      <c r="O59" s="102"/>
      <c r="P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</row>
    <row r="60" spans="10:73">
      <c r="O60" s="102"/>
      <c r="P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</row>
    <row r="61" spans="10:73">
      <c r="O61" s="102"/>
      <c r="P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</row>
    <row r="62" spans="10:73">
      <c r="O62" s="102"/>
      <c r="P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</row>
    <row r="63" spans="10:73">
      <c r="O63" s="102"/>
      <c r="P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</row>
    <row r="64" spans="10:73">
      <c r="O64" s="102"/>
      <c r="P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</row>
    <row r="65" spans="15:73">
      <c r="O65" s="102"/>
      <c r="P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</row>
    <row r="66" spans="15:73">
      <c r="O66" s="102"/>
      <c r="P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</row>
    <row r="67" spans="15:73">
      <c r="O67" s="102"/>
      <c r="P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</row>
    <row r="68" spans="15:73">
      <c r="O68" s="102"/>
      <c r="P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</row>
    <row r="69" spans="15:73">
      <c r="O69" s="102"/>
      <c r="P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</row>
    <row r="70" spans="15:73">
      <c r="O70" s="102"/>
      <c r="P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</row>
    <row r="71" spans="15:73">
      <c r="O71" s="102"/>
      <c r="P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</row>
    <row r="72" spans="15:73">
      <c r="O72" s="102"/>
      <c r="P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</row>
    <row r="73" spans="15:73">
      <c r="O73" s="102"/>
      <c r="P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</row>
    <row r="74" spans="15:73"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</row>
    <row r="75" spans="15:73"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</row>
    <row r="76" spans="15:73"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</row>
    <row r="77" spans="15:73"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</row>
    <row r="78" spans="15:73"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</row>
    <row r="79" spans="15:73"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</row>
    <row r="80" spans="15:73"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</row>
    <row r="81" spans="15:73"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</row>
    <row r="82" spans="15:73"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</row>
    <row r="83" spans="15:73"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</row>
    <row r="84" spans="15:73"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</row>
    <row r="85" spans="15:73"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</row>
    <row r="86" spans="15:73"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</row>
    <row r="87" spans="15:73"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</row>
    <row r="88" spans="15:73"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</row>
    <row r="89" spans="15:73"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</row>
    <row r="90" spans="15:73"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</row>
    <row r="91" spans="15:73"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</row>
    <row r="92" spans="15:73"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</row>
    <row r="93" spans="15:73"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</row>
    <row r="94" spans="15:73"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</row>
    <row r="95" spans="15:73"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</row>
    <row r="96" spans="15:73"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</row>
    <row r="97" spans="15:73"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</row>
    <row r="98" spans="15:73"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</row>
    <row r="99" spans="15:73"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</row>
    <row r="100" spans="15:73"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</row>
    <row r="101" spans="15:73"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</row>
    <row r="102" spans="15:73"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</row>
    <row r="103" spans="15:73"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</row>
    <row r="104" spans="15:73"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</row>
    <row r="105" spans="15:73"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</row>
    <row r="106" spans="15:73"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</row>
    <row r="107" spans="15:73"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</row>
    <row r="108" spans="15:73"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102"/>
      <c r="BU108" s="102"/>
    </row>
    <row r="109" spans="15:73"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</row>
    <row r="110" spans="15:73"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2"/>
      <c r="BT110" s="102"/>
      <c r="BU110" s="102"/>
    </row>
    <row r="111" spans="15:73"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</row>
    <row r="112" spans="15:73"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</row>
    <row r="113" spans="15:73"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</row>
    <row r="114" spans="15:73"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</row>
    <row r="115" spans="15:73"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</row>
    <row r="116" spans="15:73"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</row>
    <row r="117" spans="15:73"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</row>
    <row r="118" spans="15:73"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</row>
    <row r="119" spans="15:73"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S119" s="102"/>
      <c r="BT119" s="102"/>
      <c r="BU119" s="102"/>
    </row>
    <row r="120" spans="15:73"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  <c r="BR120" s="102"/>
      <c r="BS120" s="102"/>
      <c r="BT120" s="102"/>
      <c r="BU120" s="102"/>
    </row>
    <row r="121" spans="15:73"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/>
      <c r="BO121" s="102"/>
      <c r="BP121" s="102"/>
      <c r="BQ121" s="102"/>
      <c r="BR121" s="102"/>
      <c r="BS121" s="102"/>
      <c r="BT121" s="102"/>
      <c r="BU121" s="102"/>
    </row>
    <row r="122" spans="15:73"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</row>
    <row r="123" spans="15:73"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</row>
    <row r="124" spans="15:73"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</row>
    <row r="125" spans="15:73"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</row>
    <row r="126" spans="15:73"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</row>
    <row r="127" spans="15:73"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</row>
    <row r="128" spans="15:73"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  <c r="BU128" s="102"/>
    </row>
    <row r="129" spans="15:73"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  <c r="BU129" s="102"/>
    </row>
    <row r="130" spans="15:73"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  <c r="BU130" s="102"/>
    </row>
    <row r="131" spans="15:73"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102"/>
      <c r="BP131" s="102"/>
      <c r="BQ131" s="102"/>
      <c r="BR131" s="102"/>
      <c r="BS131" s="102"/>
      <c r="BT131" s="102"/>
      <c r="BU131" s="102"/>
    </row>
    <row r="132" spans="15:73"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/>
      <c r="BO132" s="102"/>
      <c r="BP132" s="102"/>
      <c r="BQ132" s="102"/>
      <c r="BR132" s="102"/>
      <c r="BS132" s="102"/>
      <c r="BT132" s="102"/>
      <c r="BU132" s="102"/>
    </row>
    <row r="133" spans="15:73"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/>
      <c r="BO133" s="102"/>
      <c r="BP133" s="102"/>
      <c r="BQ133" s="102"/>
      <c r="BR133" s="102"/>
      <c r="BS133" s="102"/>
      <c r="BT133" s="102"/>
      <c r="BU133" s="102"/>
    </row>
    <row r="134" spans="15:73"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</row>
    <row r="135" spans="15:73"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</row>
    <row r="136" spans="15:73"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</row>
    <row r="137" spans="15:73"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</row>
    <row r="138" spans="15:73"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</row>
    <row r="139" spans="15:73"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  <c r="BU139" s="102"/>
    </row>
    <row r="140" spans="15:73"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  <c r="BU140" s="102"/>
    </row>
    <row r="141" spans="15:73"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</row>
    <row r="142" spans="15:73"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  <c r="BU142" s="102"/>
    </row>
    <row r="143" spans="15:73"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/>
      <c r="BO143" s="102"/>
      <c r="BP143" s="102"/>
      <c r="BQ143" s="102"/>
      <c r="BR143" s="102"/>
      <c r="BS143" s="102"/>
      <c r="BT143" s="102"/>
      <c r="BU143" s="102"/>
    </row>
    <row r="144" spans="15:73"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/>
      <c r="BO144" s="102"/>
      <c r="BP144" s="102"/>
      <c r="BQ144" s="102"/>
      <c r="BR144" s="102"/>
      <c r="BS144" s="102"/>
      <c r="BT144" s="102"/>
      <c r="BU144" s="102"/>
    </row>
    <row r="145" spans="15:73"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2"/>
      <c r="BR145" s="102"/>
      <c r="BS145" s="102"/>
      <c r="BT145" s="102"/>
      <c r="BU145" s="102"/>
    </row>
    <row r="146" spans="15:73"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</row>
    <row r="147" spans="15:73"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2"/>
      <c r="BQ147" s="102"/>
      <c r="BR147" s="102"/>
      <c r="BS147" s="102"/>
      <c r="BT147" s="102"/>
      <c r="BU147" s="102"/>
    </row>
    <row r="148" spans="15:73"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/>
      <c r="BO148" s="102"/>
      <c r="BP148" s="102"/>
      <c r="BQ148" s="102"/>
      <c r="BR148" s="102"/>
      <c r="BS148" s="102"/>
      <c r="BT148" s="102"/>
      <c r="BU148" s="102"/>
    </row>
    <row r="149" spans="15:73"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</row>
    <row r="150" spans="15:73"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  <c r="BU150" s="102"/>
    </row>
    <row r="151" spans="15:73"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  <c r="BU151" s="102"/>
    </row>
    <row r="152" spans="15:73"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/>
      <c r="BO152" s="102"/>
      <c r="BP152" s="102"/>
      <c r="BQ152" s="102"/>
      <c r="BR152" s="102"/>
      <c r="BS152" s="102"/>
      <c r="BT152" s="102"/>
      <c r="BU152" s="102"/>
    </row>
    <row r="153" spans="15:73"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/>
      <c r="BO153" s="102"/>
      <c r="BP153" s="102"/>
      <c r="BQ153" s="102"/>
      <c r="BR153" s="102"/>
      <c r="BS153" s="102"/>
      <c r="BT153" s="102"/>
      <c r="BU153" s="102"/>
    </row>
    <row r="154" spans="15:73"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  <c r="BI154" s="102"/>
      <c r="BJ154" s="102"/>
      <c r="BK154" s="102"/>
      <c r="BL154" s="102"/>
      <c r="BM154" s="102"/>
      <c r="BN154" s="102"/>
      <c r="BO154" s="102"/>
      <c r="BP154" s="102"/>
      <c r="BQ154" s="102"/>
      <c r="BR154" s="102"/>
      <c r="BS154" s="102"/>
      <c r="BT154" s="102"/>
      <c r="BU154" s="102"/>
    </row>
    <row r="155" spans="15:73"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  <c r="BI155" s="102"/>
      <c r="BJ155" s="102"/>
      <c r="BK155" s="102"/>
      <c r="BL155" s="102"/>
      <c r="BM155" s="102"/>
      <c r="BN155" s="102"/>
      <c r="BO155" s="102"/>
      <c r="BP155" s="102"/>
      <c r="BQ155" s="102"/>
      <c r="BR155" s="102"/>
      <c r="BS155" s="102"/>
      <c r="BT155" s="102"/>
      <c r="BU155" s="102"/>
    </row>
    <row r="156" spans="15:73"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102"/>
      <c r="BP156" s="102"/>
      <c r="BQ156" s="102"/>
      <c r="BR156" s="102"/>
      <c r="BS156" s="102"/>
      <c r="BT156" s="102"/>
      <c r="BU156" s="102"/>
    </row>
    <row r="157" spans="15:73"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/>
      <c r="BO157" s="102"/>
      <c r="BP157" s="102"/>
      <c r="BQ157" s="102"/>
      <c r="BR157" s="102"/>
      <c r="BS157" s="102"/>
      <c r="BT157" s="102"/>
      <c r="BU157" s="102"/>
    </row>
    <row r="158" spans="15:73"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  <c r="BM158" s="102"/>
      <c r="BN158" s="102"/>
      <c r="BO158" s="102"/>
      <c r="BP158" s="102"/>
      <c r="BQ158" s="102"/>
      <c r="BR158" s="102"/>
      <c r="BS158" s="102"/>
      <c r="BT158" s="102"/>
      <c r="BU158" s="102"/>
    </row>
    <row r="159" spans="15:73"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/>
      <c r="BO159" s="102"/>
      <c r="BP159" s="102"/>
      <c r="BQ159" s="102"/>
      <c r="BR159" s="102"/>
      <c r="BS159" s="102"/>
      <c r="BT159" s="102"/>
      <c r="BU159" s="102"/>
    </row>
    <row r="160" spans="15:73"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  <c r="BT160" s="102"/>
      <c r="BU160" s="102"/>
    </row>
    <row r="161" spans="15:73"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/>
      <c r="BO161" s="102"/>
      <c r="BP161" s="102"/>
      <c r="BQ161" s="102"/>
      <c r="BR161" s="102"/>
      <c r="BS161" s="102"/>
      <c r="BT161" s="102"/>
      <c r="BU161" s="102"/>
    </row>
    <row r="162" spans="15:73"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2"/>
      <c r="BJ162" s="102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</row>
    <row r="163" spans="15:73"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02"/>
    </row>
    <row r="164" spans="15:73"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  <c r="BI164" s="102"/>
      <c r="BJ164" s="102"/>
      <c r="BK164" s="102"/>
      <c r="BL164" s="102"/>
      <c r="BM164" s="102"/>
      <c r="BN164" s="102"/>
      <c r="BO164" s="102"/>
      <c r="BP164" s="102"/>
      <c r="BQ164" s="102"/>
      <c r="BR164" s="102"/>
      <c r="BS164" s="102"/>
      <c r="BT164" s="102"/>
      <c r="BU164" s="102"/>
    </row>
    <row r="165" spans="15:73"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/>
      <c r="BI165" s="102"/>
      <c r="BJ165" s="102"/>
      <c r="BK165" s="102"/>
      <c r="BL165" s="102"/>
      <c r="BM165" s="102"/>
      <c r="BN165" s="102"/>
      <c r="BO165" s="102"/>
      <c r="BP165" s="102"/>
      <c r="BQ165" s="102"/>
      <c r="BR165" s="102"/>
      <c r="BS165" s="102"/>
      <c r="BT165" s="102"/>
      <c r="BU165" s="102"/>
    </row>
    <row r="166" spans="15:73"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  <c r="BI166" s="102"/>
      <c r="BJ166" s="102"/>
      <c r="BK166" s="102"/>
      <c r="BL166" s="102"/>
      <c r="BM166" s="102"/>
      <c r="BN166" s="102"/>
      <c r="BO166" s="102"/>
      <c r="BP166" s="102"/>
      <c r="BQ166" s="102"/>
      <c r="BR166" s="102"/>
      <c r="BS166" s="102"/>
      <c r="BT166" s="102"/>
      <c r="BU166" s="102"/>
    </row>
    <row r="167" spans="15:73"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  <c r="BH167" s="102"/>
      <c r="BI167" s="102"/>
      <c r="BJ167" s="102"/>
      <c r="BK167" s="102"/>
      <c r="BL167" s="102"/>
      <c r="BM167" s="102"/>
      <c r="BN167" s="102"/>
      <c r="BO167" s="102"/>
      <c r="BP167" s="102"/>
      <c r="BQ167" s="102"/>
      <c r="BR167" s="102"/>
      <c r="BS167" s="102"/>
      <c r="BT167" s="102"/>
      <c r="BU167" s="102"/>
    </row>
    <row r="168" spans="15:73"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</row>
    <row r="169" spans="15:73"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</row>
    <row r="170" spans="15:73"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  <c r="BI170" s="102"/>
      <c r="BJ170" s="102"/>
      <c r="BK170" s="102"/>
      <c r="BL170" s="102"/>
      <c r="BM170" s="102"/>
      <c r="BN170" s="102"/>
      <c r="BO170" s="102"/>
      <c r="BP170" s="102"/>
      <c r="BQ170" s="102"/>
      <c r="BR170" s="102"/>
      <c r="BS170" s="102"/>
      <c r="BT170" s="102"/>
      <c r="BU170" s="102"/>
    </row>
    <row r="171" spans="15:73"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</row>
    <row r="172" spans="15:73"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2"/>
      <c r="BK172" s="102"/>
      <c r="BL172" s="102"/>
      <c r="BM172" s="102"/>
      <c r="BN172" s="102"/>
      <c r="BO172" s="102"/>
      <c r="BP172" s="102"/>
      <c r="BQ172" s="102"/>
      <c r="BR172" s="102"/>
      <c r="BS172" s="102"/>
      <c r="BT172" s="102"/>
      <c r="BU172" s="102"/>
    </row>
    <row r="173" spans="15:73"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</row>
    <row r="174" spans="15:73"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  <c r="BI174" s="102"/>
      <c r="BJ174" s="102"/>
      <c r="BK174" s="102"/>
      <c r="BL174" s="102"/>
      <c r="BM174" s="102"/>
      <c r="BN174" s="102"/>
      <c r="BO174" s="102"/>
      <c r="BP174" s="102"/>
      <c r="BQ174" s="102"/>
      <c r="BR174" s="102"/>
      <c r="BS174" s="102"/>
      <c r="BT174" s="102"/>
      <c r="BU174" s="102"/>
    </row>
    <row r="175" spans="15:73"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  <c r="BI175" s="102"/>
      <c r="BJ175" s="102"/>
      <c r="BK175" s="102"/>
      <c r="BL175" s="102"/>
      <c r="BM175" s="102"/>
      <c r="BN175" s="102"/>
      <c r="BO175" s="102"/>
      <c r="BP175" s="102"/>
      <c r="BQ175" s="102"/>
      <c r="BR175" s="102"/>
      <c r="BS175" s="102"/>
      <c r="BT175" s="102"/>
      <c r="BU175" s="102"/>
    </row>
    <row r="176" spans="15:73"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  <c r="BH176" s="102"/>
      <c r="BI176" s="102"/>
      <c r="BJ176" s="102"/>
      <c r="BK176" s="102"/>
      <c r="BL176" s="102"/>
      <c r="BM176" s="102"/>
      <c r="BN176" s="102"/>
      <c r="BO176" s="102"/>
      <c r="BP176" s="102"/>
      <c r="BQ176" s="102"/>
      <c r="BR176" s="102"/>
      <c r="BS176" s="102"/>
      <c r="BT176" s="102"/>
      <c r="BU176" s="102"/>
    </row>
    <row r="177" spans="15:73"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  <c r="BI177" s="102"/>
      <c r="BJ177" s="102"/>
      <c r="BK177" s="102"/>
      <c r="BL177" s="102"/>
      <c r="BM177" s="102"/>
      <c r="BN177" s="102"/>
      <c r="BO177" s="102"/>
      <c r="BP177" s="102"/>
      <c r="BQ177" s="102"/>
      <c r="BR177" s="102"/>
      <c r="BS177" s="102"/>
      <c r="BT177" s="102"/>
      <c r="BU177" s="102"/>
    </row>
    <row r="178" spans="15:73"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02"/>
      <c r="BM178" s="102"/>
      <c r="BN178" s="102"/>
      <c r="BO178" s="102"/>
      <c r="BP178" s="102"/>
      <c r="BQ178" s="102"/>
      <c r="BR178" s="102"/>
      <c r="BS178" s="102"/>
      <c r="BT178" s="102"/>
      <c r="BU178" s="102"/>
    </row>
    <row r="179" spans="15:73"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  <c r="BI179" s="102"/>
      <c r="BJ179" s="102"/>
      <c r="BK179" s="102"/>
      <c r="BL179" s="102"/>
      <c r="BM179" s="102"/>
      <c r="BN179" s="102"/>
      <c r="BO179" s="102"/>
      <c r="BP179" s="102"/>
      <c r="BQ179" s="102"/>
      <c r="BR179" s="102"/>
      <c r="BS179" s="102"/>
      <c r="BT179" s="102"/>
      <c r="BU179" s="102"/>
    </row>
    <row r="180" spans="15:73"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02"/>
      <c r="BN180" s="102"/>
      <c r="BO180" s="102"/>
      <c r="BP180" s="102"/>
      <c r="BQ180" s="102"/>
      <c r="BR180" s="102"/>
      <c r="BS180" s="102"/>
      <c r="BT180" s="102"/>
      <c r="BU180" s="102"/>
    </row>
    <row r="181" spans="15:73"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</row>
    <row r="182" spans="15:73"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</row>
    <row r="183" spans="15:73"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</row>
    <row r="184" spans="15:73"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</row>
    <row r="185" spans="15:73"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</row>
    <row r="186" spans="15:73"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  <c r="BI186" s="102"/>
      <c r="BJ186" s="102"/>
      <c r="BK186" s="102"/>
      <c r="BL186" s="102"/>
      <c r="BM186" s="102"/>
      <c r="BN186" s="102"/>
      <c r="BO186" s="102"/>
      <c r="BP186" s="102"/>
      <c r="BQ186" s="102"/>
      <c r="BR186" s="102"/>
      <c r="BS186" s="102"/>
      <c r="BT186" s="102"/>
      <c r="BU186" s="102"/>
    </row>
    <row r="187" spans="15:73"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  <c r="BH187" s="102"/>
      <c r="BI187" s="102"/>
      <c r="BJ187" s="102"/>
      <c r="BK187" s="102"/>
      <c r="BL187" s="102"/>
      <c r="BM187" s="102"/>
      <c r="BN187" s="102"/>
      <c r="BO187" s="102"/>
      <c r="BP187" s="102"/>
      <c r="BQ187" s="102"/>
      <c r="BR187" s="102"/>
      <c r="BS187" s="102"/>
      <c r="BT187" s="102"/>
      <c r="BU187" s="102"/>
    </row>
    <row r="188" spans="15:73"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02"/>
      <c r="BH188" s="102"/>
      <c r="BI188" s="102"/>
      <c r="BJ188" s="102"/>
      <c r="BK188" s="102"/>
      <c r="BL188" s="102"/>
      <c r="BM188" s="102"/>
      <c r="BN188" s="102"/>
      <c r="BO188" s="102"/>
      <c r="BP188" s="102"/>
      <c r="BQ188" s="102"/>
      <c r="BR188" s="102"/>
      <c r="BS188" s="102"/>
      <c r="BT188" s="102"/>
      <c r="BU188" s="102"/>
    </row>
    <row r="189" spans="15:73"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  <c r="BI189" s="102"/>
      <c r="BJ189" s="102"/>
      <c r="BK189" s="102"/>
      <c r="BL189" s="102"/>
      <c r="BM189" s="102"/>
      <c r="BN189" s="102"/>
      <c r="BO189" s="102"/>
      <c r="BP189" s="102"/>
      <c r="BQ189" s="102"/>
      <c r="BR189" s="102"/>
      <c r="BS189" s="102"/>
      <c r="BT189" s="102"/>
      <c r="BU189" s="102"/>
    </row>
    <row r="190" spans="15:73"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  <c r="BI190" s="102"/>
      <c r="BJ190" s="102"/>
      <c r="BK190" s="102"/>
      <c r="BL190" s="102"/>
      <c r="BM190" s="102"/>
      <c r="BN190" s="102"/>
      <c r="BO190" s="102"/>
      <c r="BP190" s="102"/>
      <c r="BQ190" s="102"/>
      <c r="BR190" s="102"/>
      <c r="BS190" s="102"/>
      <c r="BT190" s="102"/>
      <c r="BU190" s="102"/>
    </row>
    <row r="191" spans="15:73"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  <c r="BI191" s="102"/>
      <c r="BJ191" s="102"/>
      <c r="BK191" s="102"/>
      <c r="BL191" s="102"/>
      <c r="BM191" s="102"/>
      <c r="BN191" s="102"/>
      <c r="BO191" s="102"/>
      <c r="BP191" s="102"/>
      <c r="BQ191" s="102"/>
      <c r="BR191" s="102"/>
      <c r="BS191" s="102"/>
      <c r="BT191" s="102"/>
      <c r="BU191" s="102"/>
    </row>
    <row r="192" spans="15:73"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  <c r="BI192" s="102"/>
      <c r="BJ192" s="102"/>
      <c r="BK192" s="102"/>
      <c r="BL192" s="102"/>
      <c r="BM192" s="102"/>
      <c r="BN192" s="102"/>
      <c r="BO192" s="102"/>
      <c r="BP192" s="102"/>
      <c r="BQ192" s="102"/>
      <c r="BR192" s="102"/>
      <c r="BS192" s="102"/>
      <c r="BT192" s="102"/>
      <c r="BU192" s="102"/>
    </row>
    <row r="193" spans="15:73"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  <c r="BI193" s="102"/>
      <c r="BJ193" s="102"/>
      <c r="BK193" s="102"/>
      <c r="BL193" s="102"/>
      <c r="BM193" s="102"/>
      <c r="BN193" s="102"/>
      <c r="BO193" s="102"/>
      <c r="BP193" s="102"/>
      <c r="BQ193" s="102"/>
      <c r="BR193" s="102"/>
      <c r="BS193" s="102"/>
      <c r="BT193" s="102"/>
      <c r="BU193" s="102"/>
    </row>
    <row r="194" spans="15:73"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  <c r="BI194" s="102"/>
      <c r="BJ194" s="102"/>
      <c r="BK194" s="102"/>
      <c r="BL194" s="102"/>
      <c r="BM194" s="102"/>
      <c r="BN194" s="102"/>
      <c r="BO194" s="102"/>
      <c r="BP194" s="102"/>
      <c r="BQ194" s="102"/>
      <c r="BR194" s="102"/>
      <c r="BS194" s="102"/>
      <c r="BT194" s="102"/>
      <c r="BU194" s="102"/>
    </row>
    <row r="195" spans="15:73"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  <c r="BI195" s="102"/>
      <c r="BJ195" s="102"/>
      <c r="BK195" s="102"/>
      <c r="BL195" s="102"/>
      <c r="BM195" s="102"/>
      <c r="BN195" s="102"/>
      <c r="BO195" s="102"/>
      <c r="BP195" s="102"/>
      <c r="BQ195" s="102"/>
      <c r="BR195" s="102"/>
      <c r="BS195" s="102"/>
      <c r="BT195" s="102"/>
      <c r="BU195" s="102"/>
    </row>
    <row r="196" spans="15:73"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  <c r="BI196" s="102"/>
      <c r="BJ196" s="102"/>
      <c r="BK196" s="102"/>
      <c r="BL196" s="102"/>
      <c r="BM196" s="102"/>
      <c r="BN196" s="102"/>
      <c r="BO196" s="102"/>
      <c r="BP196" s="102"/>
      <c r="BQ196" s="102"/>
      <c r="BR196" s="102"/>
      <c r="BS196" s="102"/>
      <c r="BT196" s="102"/>
      <c r="BU196" s="102"/>
    </row>
    <row r="197" spans="15:73"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  <c r="BI197" s="102"/>
      <c r="BJ197" s="102"/>
      <c r="BK197" s="102"/>
      <c r="BL197" s="102"/>
      <c r="BM197" s="102"/>
      <c r="BN197" s="102"/>
      <c r="BO197" s="102"/>
      <c r="BP197" s="102"/>
      <c r="BQ197" s="102"/>
      <c r="BR197" s="102"/>
      <c r="BS197" s="102"/>
      <c r="BT197" s="102"/>
      <c r="BU197" s="102"/>
    </row>
    <row r="198" spans="15:73"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  <c r="AX198" s="102"/>
      <c r="AY198" s="102"/>
      <c r="AZ198" s="102"/>
      <c r="BA198" s="102"/>
      <c r="BB198" s="102"/>
      <c r="BC198" s="102"/>
      <c r="BD198" s="102"/>
      <c r="BE198" s="102"/>
      <c r="BF198" s="102"/>
      <c r="BG198" s="102"/>
      <c r="BH198" s="102"/>
      <c r="BI198" s="102"/>
      <c r="BJ198" s="102"/>
      <c r="BK198" s="102"/>
      <c r="BL198" s="102"/>
      <c r="BM198" s="102"/>
      <c r="BN198" s="102"/>
      <c r="BO198" s="102"/>
      <c r="BP198" s="102"/>
      <c r="BQ198" s="102"/>
      <c r="BR198" s="102"/>
      <c r="BS198" s="102"/>
      <c r="BT198" s="102"/>
      <c r="BU198" s="102"/>
    </row>
    <row r="199" spans="15:73"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  <c r="BH199" s="102"/>
      <c r="BI199" s="102"/>
      <c r="BJ199" s="102"/>
      <c r="BK199" s="102"/>
      <c r="BL199" s="102"/>
      <c r="BM199" s="102"/>
      <c r="BN199" s="102"/>
      <c r="BO199" s="102"/>
      <c r="BP199" s="102"/>
      <c r="BQ199" s="102"/>
      <c r="BR199" s="102"/>
      <c r="BS199" s="102"/>
      <c r="BT199" s="102"/>
      <c r="BU199" s="102"/>
    </row>
    <row r="200" spans="15:73"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  <c r="BI200" s="102"/>
      <c r="BJ200" s="102"/>
      <c r="BK200" s="102"/>
      <c r="BL200" s="102"/>
      <c r="BM200" s="102"/>
      <c r="BN200" s="102"/>
      <c r="BO200" s="102"/>
      <c r="BP200" s="102"/>
      <c r="BQ200" s="102"/>
      <c r="BR200" s="102"/>
      <c r="BS200" s="102"/>
      <c r="BT200" s="102"/>
      <c r="BU200" s="102"/>
    </row>
    <row r="201" spans="15:73"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  <c r="BI201" s="102"/>
      <c r="BJ201" s="102"/>
      <c r="BK201" s="102"/>
      <c r="BL201" s="102"/>
      <c r="BM201" s="102"/>
      <c r="BN201" s="102"/>
      <c r="BO201" s="102"/>
      <c r="BP201" s="102"/>
      <c r="BQ201" s="102"/>
      <c r="BR201" s="102"/>
      <c r="BS201" s="102"/>
      <c r="BT201" s="102"/>
      <c r="BU201" s="102"/>
    </row>
    <row r="202" spans="15:73"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  <c r="BI202" s="102"/>
      <c r="BJ202" s="102"/>
      <c r="BK202" s="102"/>
      <c r="BL202" s="102"/>
      <c r="BM202" s="102"/>
      <c r="BN202" s="102"/>
      <c r="BO202" s="102"/>
      <c r="BP202" s="102"/>
      <c r="BQ202" s="102"/>
      <c r="BR202" s="102"/>
      <c r="BS202" s="102"/>
      <c r="BT202" s="102"/>
      <c r="BU202" s="102"/>
    </row>
    <row r="203" spans="15:73"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  <c r="BI203" s="102"/>
      <c r="BJ203" s="102"/>
      <c r="BK203" s="102"/>
      <c r="BL203" s="102"/>
      <c r="BM203" s="102"/>
      <c r="BN203" s="102"/>
      <c r="BO203" s="102"/>
      <c r="BP203" s="102"/>
      <c r="BQ203" s="102"/>
      <c r="BR203" s="102"/>
      <c r="BS203" s="102"/>
      <c r="BT203" s="102"/>
      <c r="BU203" s="102"/>
    </row>
    <row r="204" spans="15:73"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  <c r="BJ204" s="102"/>
      <c r="BK204" s="102"/>
      <c r="BL204" s="102"/>
      <c r="BM204" s="102"/>
      <c r="BN204" s="102"/>
      <c r="BO204" s="102"/>
      <c r="BP204" s="102"/>
      <c r="BQ204" s="102"/>
      <c r="BR204" s="102"/>
      <c r="BS204" s="102"/>
      <c r="BT204" s="102"/>
      <c r="BU204" s="102"/>
    </row>
    <row r="205" spans="15:73"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  <c r="BT205" s="102"/>
      <c r="BU205" s="102"/>
    </row>
    <row r="206" spans="15:73"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/>
      <c r="BO206" s="102"/>
      <c r="BP206" s="102"/>
      <c r="BQ206" s="102"/>
      <c r="BR206" s="102"/>
      <c r="BS206" s="102"/>
      <c r="BT206" s="102"/>
      <c r="BU206" s="102"/>
    </row>
    <row r="207" spans="15:73"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/>
      <c r="BT207" s="102"/>
      <c r="BU207" s="102"/>
    </row>
    <row r="208" spans="15:73"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/>
      <c r="BO208" s="102"/>
      <c r="BP208" s="102"/>
      <c r="BQ208" s="102"/>
      <c r="BR208" s="102"/>
      <c r="BS208" s="102"/>
      <c r="BT208" s="102"/>
      <c r="BU208" s="102"/>
    </row>
    <row r="209" spans="15:73"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  <c r="BG209" s="102"/>
      <c r="BH209" s="102"/>
      <c r="BI209" s="102"/>
      <c r="BJ209" s="102"/>
      <c r="BK209" s="102"/>
      <c r="BL209" s="102"/>
      <c r="BM209" s="102"/>
      <c r="BN209" s="102"/>
      <c r="BO209" s="102"/>
      <c r="BP209" s="102"/>
      <c r="BQ209" s="102"/>
      <c r="BR209" s="102"/>
      <c r="BS209" s="102"/>
      <c r="BT209" s="102"/>
      <c r="BU209" s="102"/>
    </row>
    <row r="210" spans="15:73"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  <c r="AV210" s="102"/>
      <c r="AW210" s="102"/>
      <c r="AX210" s="102"/>
      <c r="AY210" s="102"/>
      <c r="AZ210" s="102"/>
      <c r="BA210" s="102"/>
      <c r="BB210" s="102"/>
      <c r="BC210" s="102"/>
      <c r="BD210" s="102"/>
      <c r="BE210" s="102"/>
      <c r="BF210" s="102"/>
      <c r="BG210" s="102"/>
      <c r="BH210" s="102"/>
      <c r="BI210" s="102"/>
      <c r="BJ210" s="102"/>
      <c r="BK210" s="102"/>
      <c r="BL210" s="102"/>
      <c r="BM210" s="102"/>
      <c r="BN210" s="102"/>
      <c r="BO210" s="102"/>
      <c r="BP210" s="102"/>
      <c r="BQ210" s="102"/>
      <c r="BR210" s="102"/>
      <c r="BS210" s="102"/>
      <c r="BT210" s="102"/>
      <c r="BU210" s="102"/>
    </row>
    <row r="211" spans="15:73"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  <c r="BH211" s="102"/>
      <c r="BI211" s="102"/>
      <c r="BJ211" s="102"/>
      <c r="BK211" s="102"/>
      <c r="BL211" s="102"/>
      <c r="BM211" s="102"/>
      <c r="BN211" s="102"/>
      <c r="BO211" s="102"/>
      <c r="BP211" s="102"/>
      <c r="BQ211" s="102"/>
      <c r="BR211" s="102"/>
      <c r="BS211" s="102"/>
      <c r="BT211" s="102"/>
      <c r="BU211" s="102"/>
    </row>
    <row r="212" spans="15:73"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  <c r="BH212" s="102"/>
      <c r="BI212" s="102"/>
      <c r="BJ212" s="102"/>
      <c r="BK212" s="102"/>
      <c r="BL212" s="102"/>
      <c r="BM212" s="102"/>
      <c r="BN212" s="102"/>
      <c r="BO212" s="102"/>
      <c r="BP212" s="102"/>
      <c r="BQ212" s="102"/>
      <c r="BR212" s="102"/>
      <c r="BS212" s="102"/>
      <c r="BT212" s="102"/>
      <c r="BU212" s="102"/>
    </row>
    <row r="213" spans="15:73"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  <c r="BI213" s="102"/>
      <c r="BJ213" s="102"/>
      <c r="BK213" s="102"/>
      <c r="BL213" s="102"/>
      <c r="BM213" s="102"/>
      <c r="BN213" s="102"/>
      <c r="BO213" s="102"/>
      <c r="BP213" s="102"/>
      <c r="BQ213" s="102"/>
      <c r="BR213" s="102"/>
      <c r="BS213" s="102"/>
      <c r="BT213" s="102"/>
      <c r="BU213" s="102"/>
    </row>
    <row r="214" spans="15:73"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/>
      <c r="BO214" s="102"/>
      <c r="BP214" s="102"/>
      <c r="BQ214" s="102"/>
      <c r="BR214" s="102"/>
      <c r="BS214" s="102"/>
      <c r="BT214" s="102"/>
      <c r="BU214" s="102"/>
    </row>
    <row r="215" spans="15:73"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/>
      <c r="BO215" s="102"/>
      <c r="BP215" s="102"/>
      <c r="BQ215" s="102"/>
      <c r="BR215" s="102"/>
      <c r="BS215" s="102"/>
      <c r="BT215" s="102"/>
      <c r="BU215" s="102"/>
    </row>
    <row r="216" spans="15:73"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/>
      <c r="BO216" s="102"/>
      <c r="BP216" s="102"/>
      <c r="BQ216" s="102"/>
      <c r="BR216" s="102"/>
      <c r="BS216" s="102"/>
      <c r="BT216" s="102"/>
      <c r="BU216" s="102"/>
    </row>
    <row r="217" spans="15:73"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/>
      <c r="BO217" s="102"/>
      <c r="BP217" s="102"/>
      <c r="BQ217" s="102"/>
      <c r="BR217" s="102"/>
      <c r="BS217" s="102"/>
      <c r="BT217" s="102"/>
      <c r="BU217" s="102"/>
    </row>
    <row r="218" spans="15:73"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/>
      <c r="BO218" s="102"/>
      <c r="BP218" s="102"/>
      <c r="BQ218" s="102"/>
      <c r="BR218" s="102"/>
      <c r="BS218" s="102"/>
      <c r="BT218" s="102"/>
      <c r="BU218" s="102"/>
    </row>
    <row r="219" spans="15:73"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/>
      <c r="BO219" s="102"/>
      <c r="BP219" s="102"/>
      <c r="BQ219" s="102"/>
      <c r="BR219" s="102"/>
      <c r="BS219" s="102"/>
      <c r="BT219" s="102"/>
      <c r="BU219" s="102"/>
    </row>
    <row r="220" spans="15:73"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102"/>
      <c r="BF220" s="102"/>
      <c r="BG220" s="102"/>
      <c r="BH220" s="102"/>
      <c r="BI220" s="102"/>
      <c r="BJ220" s="102"/>
      <c r="BK220" s="102"/>
      <c r="BL220" s="102"/>
      <c r="BM220" s="102"/>
      <c r="BN220" s="102"/>
      <c r="BO220" s="102"/>
      <c r="BP220" s="102"/>
      <c r="BQ220" s="102"/>
      <c r="BR220" s="102"/>
      <c r="BS220" s="102"/>
      <c r="BT220" s="102"/>
      <c r="BU220" s="102"/>
    </row>
    <row r="221" spans="15:73"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  <c r="AV221" s="102"/>
      <c r="AW221" s="102"/>
      <c r="AX221" s="102"/>
      <c r="AY221" s="102"/>
      <c r="AZ221" s="102"/>
      <c r="BA221" s="102"/>
      <c r="BB221" s="102"/>
      <c r="BC221" s="102"/>
      <c r="BD221" s="102"/>
      <c r="BE221" s="102"/>
      <c r="BF221" s="102"/>
      <c r="BG221" s="102"/>
      <c r="BH221" s="102"/>
      <c r="BI221" s="102"/>
      <c r="BJ221" s="102"/>
      <c r="BK221" s="102"/>
      <c r="BL221" s="102"/>
      <c r="BM221" s="102"/>
      <c r="BN221" s="102"/>
      <c r="BO221" s="102"/>
      <c r="BP221" s="102"/>
      <c r="BQ221" s="102"/>
      <c r="BR221" s="102"/>
      <c r="BS221" s="102"/>
      <c r="BT221" s="102"/>
      <c r="BU221" s="102"/>
    </row>
    <row r="222" spans="15:73"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  <c r="BH222" s="102"/>
      <c r="BI222" s="102"/>
      <c r="BJ222" s="102"/>
      <c r="BK222" s="102"/>
      <c r="BL222" s="102"/>
      <c r="BM222" s="102"/>
      <c r="BN222" s="102"/>
      <c r="BO222" s="102"/>
      <c r="BP222" s="102"/>
      <c r="BQ222" s="102"/>
      <c r="BR222" s="102"/>
      <c r="BS222" s="102"/>
      <c r="BT222" s="102"/>
      <c r="BU222" s="102"/>
    </row>
    <row r="223" spans="15:73"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  <c r="BH223" s="102"/>
      <c r="BI223" s="102"/>
      <c r="BJ223" s="102"/>
      <c r="BK223" s="102"/>
      <c r="BL223" s="102"/>
      <c r="BM223" s="102"/>
      <c r="BN223" s="102"/>
      <c r="BO223" s="102"/>
      <c r="BP223" s="102"/>
      <c r="BQ223" s="102"/>
      <c r="BR223" s="102"/>
      <c r="BS223" s="102"/>
      <c r="BT223" s="102"/>
      <c r="BU223" s="102"/>
    </row>
    <row r="224" spans="15:73"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/>
      <c r="BO224" s="102"/>
      <c r="BP224" s="102"/>
      <c r="BQ224" s="102"/>
      <c r="BR224" s="102"/>
      <c r="BS224" s="102"/>
      <c r="BT224" s="102"/>
      <c r="BU224" s="102"/>
    </row>
    <row r="225" spans="15:73"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/>
      <c r="BO225" s="102"/>
      <c r="BP225" s="102"/>
      <c r="BQ225" s="102"/>
      <c r="BR225" s="102"/>
      <c r="BS225" s="102"/>
      <c r="BT225" s="102"/>
      <c r="BU225" s="102"/>
    </row>
    <row r="226" spans="15:73"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/>
      <c r="BO226" s="102"/>
      <c r="BP226" s="102"/>
      <c r="BQ226" s="102"/>
      <c r="BR226" s="102"/>
      <c r="BS226" s="102"/>
      <c r="BT226" s="102"/>
      <c r="BU226" s="102"/>
    </row>
    <row r="227" spans="15:73"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/>
      <c r="BO227" s="102"/>
      <c r="BP227" s="102"/>
      <c r="BQ227" s="102"/>
      <c r="BR227" s="102"/>
      <c r="BS227" s="102"/>
      <c r="BT227" s="102"/>
      <c r="BU227" s="102"/>
    </row>
    <row r="228" spans="15:73"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/>
      <c r="BO228" s="102"/>
      <c r="BP228" s="102"/>
      <c r="BQ228" s="102"/>
      <c r="BR228" s="102"/>
      <c r="BS228" s="102"/>
      <c r="BT228" s="102"/>
      <c r="BU228" s="102"/>
    </row>
    <row r="229" spans="15:73"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/>
      <c r="BO229" s="102"/>
      <c r="BP229" s="102"/>
      <c r="BQ229" s="102"/>
      <c r="BR229" s="102"/>
      <c r="BS229" s="102"/>
      <c r="BT229" s="102"/>
      <c r="BU229" s="102"/>
    </row>
    <row r="230" spans="15:73"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/>
      <c r="BO230" s="102"/>
      <c r="BP230" s="102"/>
      <c r="BQ230" s="102"/>
      <c r="BR230" s="102"/>
      <c r="BS230" s="102"/>
      <c r="BT230" s="102"/>
      <c r="BU230" s="102"/>
    </row>
    <row r="231" spans="15:73"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  <c r="AX231" s="102"/>
      <c r="AY231" s="102"/>
      <c r="AZ231" s="102"/>
      <c r="BA231" s="102"/>
      <c r="BB231" s="102"/>
      <c r="BC231" s="102"/>
      <c r="BD231" s="102"/>
      <c r="BE231" s="102"/>
      <c r="BF231" s="102"/>
      <c r="BG231" s="102"/>
      <c r="BH231" s="102"/>
      <c r="BI231" s="102"/>
      <c r="BJ231" s="102"/>
      <c r="BK231" s="102"/>
      <c r="BL231" s="102"/>
      <c r="BM231" s="102"/>
      <c r="BN231" s="102"/>
      <c r="BO231" s="102"/>
      <c r="BP231" s="102"/>
      <c r="BQ231" s="102"/>
      <c r="BR231" s="102"/>
      <c r="BS231" s="102"/>
      <c r="BT231" s="102"/>
      <c r="BU231" s="102"/>
    </row>
    <row r="232" spans="15:73"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  <c r="BG232" s="102"/>
      <c r="BH232" s="102"/>
      <c r="BI232" s="102"/>
      <c r="BJ232" s="102"/>
      <c r="BK232" s="102"/>
      <c r="BL232" s="102"/>
      <c r="BM232" s="102"/>
      <c r="BN232" s="102"/>
      <c r="BO232" s="102"/>
      <c r="BP232" s="102"/>
      <c r="BQ232" s="102"/>
      <c r="BR232" s="102"/>
      <c r="BS232" s="102"/>
      <c r="BT232" s="102"/>
      <c r="BU232" s="102"/>
    </row>
    <row r="233" spans="15:73"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  <c r="BF233" s="102"/>
      <c r="BG233" s="102"/>
      <c r="BH233" s="102"/>
      <c r="BI233" s="102"/>
      <c r="BJ233" s="102"/>
      <c r="BK233" s="102"/>
      <c r="BL233" s="102"/>
      <c r="BM233" s="102"/>
      <c r="BN233" s="102"/>
      <c r="BO233" s="102"/>
      <c r="BP233" s="102"/>
      <c r="BQ233" s="102"/>
      <c r="BR233" s="102"/>
      <c r="BS233" s="102"/>
      <c r="BT233" s="102"/>
      <c r="BU233" s="102"/>
    </row>
    <row r="234" spans="15:73"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/>
      <c r="BO234" s="102"/>
      <c r="BP234" s="102"/>
      <c r="BQ234" s="102"/>
      <c r="BR234" s="102"/>
      <c r="BS234" s="102"/>
      <c r="BT234" s="102"/>
      <c r="BU234" s="102"/>
    </row>
    <row r="235" spans="15:73"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/>
      <c r="BO235" s="102"/>
      <c r="BP235" s="102"/>
      <c r="BQ235" s="102"/>
      <c r="BR235" s="102"/>
      <c r="BS235" s="102"/>
      <c r="BT235" s="102"/>
      <c r="BU235" s="102"/>
    </row>
    <row r="236" spans="15:73"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/>
      <c r="BO236" s="102"/>
      <c r="BP236" s="102"/>
      <c r="BQ236" s="102"/>
      <c r="BR236" s="102"/>
      <c r="BS236" s="102"/>
      <c r="BT236" s="102"/>
      <c r="BU236" s="102"/>
    </row>
    <row r="237" spans="15:73"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/>
      <c r="BO237" s="102"/>
      <c r="BP237" s="102"/>
      <c r="BQ237" s="102"/>
      <c r="BR237" s="102"/>
      <c r="BS237" s="102"/>
      <c r="BT237" s="102"/>
      <c r="BU237" s="102"/>
    </row>
    <row r="238" spans="15:73"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/>
      <c r="BO238" s="102"/>
      <c r="BP238" s="102"/>
      <c r="BQ238" s="102"/>
      <c r="BR238" s="102"/>
      <c r="BS238" s="102"/>
      <c r="BT238" s="102"/>
      <c r="BU238" s="102"/>
    </row>
    <row r="239" spans="15:73"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/>
      <c r="BO239" s="102"/>
      <c r="BP239" s="102"/>
      <c r="BQ239" s="102"/>
      <c r="BR239" s="102"/>
      <c r="BS239" s="102"/>
      <c r="BT239" s="102"/>
      <c r="BU239" s="102"/>
    </row>
    <row r="240" spans="15:73"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/>
      <c r="BO240" s="102"/>
      <c r="BP240" s="102"/>
      <c r="BQ240" s="102"/>
      <c r="BR240" s="102"/>
      <c r="BS240" s="102"/>
      <c r="BT240" s="102"/>
      <c r="BU240" s="102"/>
    </row>
    <row r="241" spans="15:73"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/>
      <c r="BO241" s="102"/>
      <c r="BP241" s="102"/>
      <c r="BQ241" s="102"/>
      <c r="BR241" s="102"/>
      <c r="BS241" s="102"/>
      <c r="BT241" s="102"/>
      <c r="BU241" s="102"/>
    </row>
    <row r="242" spans="15:73"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  <c r="AX242" s="102"/>
      <c r="AY242" s="102"/>
      <c r="AZ242" s="102"/>
      <c r="BA242" s="102"/>
      <c r="BB242" s="102"/>
      <c r="BC242" s="102"/>
      <c r="BD242" s="102"/>
      <c r="BE242" s="102"/>
      <c r="BF242" s="102"/>
      <c r="BG242" s="102"/>
      <c r="BH242" s="102"/>
      <c r="BI242" s="102"/>
      <c r="BJ242" s="102"/>
      <c r="BK242" s="102"/>
      <c r="BL242" s="102"/>
      <c r="BM242" s="102"/>
      <c r="BN242" s="102"/>
      <c r="BO242" s="102"/>
      <c r="BP242" s="102"/>
      <c r="BQ242" s="102"/>
      <c r="BR242" s="102"/>
      <c r="BS242" s="102"/>
      <c r="BT242" s="102"/>
      <c r="BU242" s="102"/>
    </row>
    <row r="243" spans="15:73"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  <c r="BG243" s="102"/>
      <c r="BH243" s="102"/>
      <c r="BI243" s="102"/>
      <c r="BJ243" s="102"/>
      <c r="BK243" s="102"/>
      <c r="BL243" s="102"/>
      <c r="BM243" s="102"/>
      <c r="BN243" s="102"/>
      <c r="BO243" s="102"/>
      <c r="BP243" s="102"/>
      <c r="BQ243" s="102"/>
      <c r="BR243" s="102"/>
      <c r="BS243" s="102"/>
      <c r="BT243" s="102"/>
      <c r="BU243" s="102"/>
    </row>
    <row r="244" spans="15:73"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/>
      <c r="BO244" s="102"/>
      <c r="BP244" s="102"/>
      <c r="BQ244" s="102"/>
      <c r="BR244" s="102"/>
      <c r="BS244" s="102"/>
      <c r="BT244" s="102"/>
      <c r="BU244" s="102"/>
    </row>
    <row r="245" spans="15:73"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/>
      <c r="BO245" s="102"/>
      <c r="BP245" s="102"/>
      <c r="BQ245" s="102"/>
      <c r="BR245" s="102"/>
      <c r="BS245" s="102"/>
      <c r="BT245" s="102"/>
      <c r="BU245" s="102"/>
    </row>
    <row r="246" spans="15:73"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/>
      <c r="BO246" s="102"/>
      <c r="BP246" s="102"/>
      <c r="BQ246" s="102"/>
      <c r="BR246" s="102"/>
      <c r="BS246" s="102"/>
      <c r="BT246" s="102"/>
      <c r="BU246" s="102"/>
    </row>
    <row r="247" spans="15:73"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/>
      <c r="BO247" s="102"/>
      <c r="BP247" s="102"/>
      <c r="BQ247" s="102"/>
      <c r="BR247" s="102"/>
      <c r="BS247" s="102"/>
      <c r="BT247" s="102"/>
      <c r="BU247" s="102"/>
    </row>
    <row r="248" spans="15:73"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/>
      <c r="BO248" s="102"/>
      <c r="BP248" s="102"/>
      <c r="BQ248" s="102"/>
      <c r="BR248" s="102"/>
      <c r="BS248" s="102"/>
      <c r="BT248" s="102"/>
      <c r="BU248" s="102"/>
    </row>
    <row r="249" spans="15:73"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/>
      <c r="BO249" s="102"/>
      <c r="BP249" s="102"/>
      <c r="BQ249" s="102"/>
      <c r="BR249" s="102"/>
      <c r="BS249" s="102"/>
      <c r="BT249" s="102"/>
      <c r="BU249" s="102"/>
    </row>
    <row r="250" spans="15:73"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/>
      <c r="BO250" s="102"/>
      <c r="BP250" s="102"/>
      <c r="BQ250" s="102"/>
      <c r="BR250" s="102"/>
      <c r="BS250" s="102"/>
      <c r="BT250" s="102"/>
      <c r="BU250" s="102"/>
    </row>
    <row r="251" spans="15:73"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/>
      <c r="BO251" s="102"/>
      <c r="BP251" s="102"/>
      <c r="BQ251" s="102"/>
      <c r="BR251" s="102"/>
      <c r="BS251" s="102"/>
      <c r="BT251" s="102"/>
      <c r="BU251" s="102"/>
    </row>
    <row r="252" spans="15:73"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  <c r="BP252" s="102"/>
      <c r="BQ252" s="102"/>
      <c r="BR252" s="102"/>
      <c r="BS252" s="102"/>
      <c r="BT252" s="102"/>
      <c r="BU252" s="102"/>
    </row>
    <row r="253" spans="15:73"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/>
      <c r="BO253" s="102"/>
      <c r="BP253" s="102"/>
      <c r="BQ253" s="102"/>
      <c r="BR253" s="102"/>
      <c r="BS253" s="102"/>
      <c r="BT253" s="102"/>
      <c r="BU253" s="102"/>
    </row>
    <row r="254" spans="15:73"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  <c r="AX254" s="102"/>
      <c r="AY254" s="102"/>
      <c r="AZ254" s="102"/>
      <c r="BA254" s="102"/>
      <c r="BB254" s="102"/>
      <c r="BC254" s="102"/>
      <c r="BD254" s="102"/>
      <c r="BE254" s="102"/>
      <c r="BF254" s="102"/>
      <c r="BG254" s="102"/>
      <c r="BH254" s="102"/>
      <c r="BI254" s="102"/>
      <c r="BJ254" s="102"/>
      <c r="BK254" s="102"/>
      <c r="BL254" s="102"/>
      <c r="BM254" s="102"/>
      <c r="BN254" s="102"/>
      <c r="BO254" s="102"/>
      <c r="BP254" s="102"/>
      <c r="BQ254" s="102"/>
      <c r="BR254" s="102"/>
      <c r="BS254" s="102"/>
      <c r="BT254" s="102"/>
      <c r="BU254" s="102"/>
    </row>
    <row r="255" spans="15:73"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/>
      <c r="BO255" s="102"/>
      <c r="BP255" s="102"/>
      <c r="BQ255" s="102"/>
      <c r="BR255" s="102"/>
      <c r="BS255" s="102"/>
      <c r="BT255" s="102"/>
      <c r="BU255" s="102"/>
    </row>
    <row r="256" spans="15:73"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/>
      <c r="BO256" s="102"/>
      <c r="BP256" s="102"/>
      <c r="BQ256" s="102"/>
      <c r="BR256" s="102"/>
      <c r="BS256" s="102"/>
      <c r="BT256" s="102"/>
      <c r="BU256" s="102"/>
    </row>
    <row r="257" spans="15:73"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/>
      <c r="BO257" s="102"/>
      <c r="BP257" s="102"/>
      <c r="BQ257" s="102"/>
      <c r="BR257" s="102"/>
      <c r="BS257" s="102"/>
      <c r="BT257" s="102"/>
      <c r="BU257" s="102"/>
    </row>
    <row r="258" spans="15:73"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/>
      <c r="BO258" s="102"/>
      <c r="BP258" s="102"/>
      <c r="BQ258" s="102"/>
      <c r="BR258" s="102"/>
      <c r="BS258" s="102"/>
      <c r="BT258" s="102"/>
      <c r="BU258" s="102"/>
    </row>
    <row r="259" spans="15:73"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  <c r="BP259" s="102"/>
      <c r="BQ259" s="102"/>
      <c r="BR259" s="102"/>
      <c r="BS259" s="102"/>
      <c r="BT259" s="102"/>
      <c r="BU259" s="102"/>
    </row>
    <row r="260" spans="15:73"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/>
      <c r="BO260" s="102"/>
      <c r="BP260" s="102"/>
      <c r="BQ260" s="102"/>
      <c r="BR260" s="102"/>
      <c r="BS260" s="102"/>
      <c r="BT260" s="102"/>
      <c r="BU260" s="102"/>
    </row>
    <row r="261" spans="15:73"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/>
      <c r="BO261" s="102"/>
      <c r="BP261" s="102"/>
      <c r="BQ261" s="102"/>
      <c r="BR261" s="102"/>
      <c r="BS261" s="102"/>
      <c r="BT261" s="102"/>
      <c r="BU261" s="102"/>
    </row>
    <row r="262" spans="15:73"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/>
      <c r="BO262" s="102"/>
      <c r="BP262" s="102"/>
      <c r="BQ262" s="102"/>
      <c r="BR262" s="102"/>
      <c r="BS262" s="102"/>
      <c r="BT262" s="102"/>
      <c r="BU262" s="102"/>
    </row>
    <row r="263" spans="15:73"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/>
      <c r="BO263" s="102"/>
      <c r="BP263" s="102"/>
      <c r="BQ263" s="102"/>
      <c r="BR263" s="102"/>
      <c r="BS263" s="102"/>
      <c r="BT263" s="102"/>
      <c r="BU263" s="102"/>
    </row>
    <row r="264" spans="15:73"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  <c r="AV264" s="102"/>
      <c r="AW264" s="102"/>
      <c r="AX264" s="102"/>
      <c r="AY264" s="102"/>
      <c r="AZ264" s="102"/>
      <c r="BA264" s="102"/>
      <c r="BB264" s="102"/>
      <c r="BC264" s="102"/>
      <c r="BD264" s="102"/>
      <c r="BE264" s="102"/>
      <c r="BF264" s="102"/>
      <c r="BG264" s="102"/>
      <c r="BH264" s="102"/>
      <c r="BI264" s="102"/>
      <c r="BJ264" s="102"/>
      <c r="BK264" s="102"/>
      <c r="BL264" s="102"/>
      <c r="BM264" s="102"/>
      <c r="BN264" s="102"/>
      <c r="BO264" s="102"/>
      <c r="BP264" s="102"/>
      <c r="BQ264" s="102"/>
      <c r="BR264" s="102"/>
      <c r="BS264" s="102"/>
      <c r="BT264" s="102"/>
      <c r="BU264" s="102"/>
    </row>
    <row r="265" spans="15:73"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  <c r="AV265" s="102"/>
      <c r="AW265" s="102"/>
      <c r="AX265" s="102"/>
      <c r="AY265" s="102"/>
      <c r="AZ265" s="102"/>
      <c r="BA265" s="102"/>
      <c r="BB265" s="102"/>
      <c r="BC265" s="102"/>
      <c r="BD265" s="102"/>
      <c r="BE265" s="102"/>
      <c r="BF265" s="102"/>
      <c r="BG265" s="102"/>
      <c r="BH265" s="102"/>
      <c r="BI265" s="102"/>
      <c r="BJ265" s="102"/>
      <c r="BK265" s="102"/>
      <c r="BL265" s="102"/>
      <c r="BM265" s="102"/>
      <c r="BN265" s="102"/>
      <c r="BO265" s="102"/>
      <c r="BP265" s="102"/>
      <c r="BQ265" s="102"/>
      <c r="BR265" s="102"/>
      <c r="BS265" s="102"/>
      <c r="BT265" s="102"/>
      <c r="BU265" s="102"/>
    </row>
    <row r="266" spans="15:73"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/>
      <c r="BO266" s="102"/>
      <c r="BP266" s="102"/>
      <c r="BQ266" s="102"/>
      <c r="BR266" s="102"/>
      <c r="BS266" s="102"/>
      <c r="BT266" s="102"/>
      <c r="BU266" s="102"/>
    </row>
    <row r="267" spans="15:73"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/>
      <c r="BO267" s="102"/>
      <c r="BP267" s="102"/>
      <c r="BQ267" s="102"/>
      <c r="BR267" s="102"/>
      <c r="BS267" s="102"/>
      <c r="BT267" s="102"/>
      <c r="BU267" s="102"/>
    </row>
    <row r="268" spans="15:73"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/>
      <c r="BO268" s="102"/>
      <c r="BP268" s="102"/>
      <c r="BQ268" s="102"/>
      <c r="BR268" s="102"/>
      <c r="BS268" s="102"/>
      <c r="BT268" s="102"/>
      <c r="BU268" s="102"/>
    </row>
    <row r="269" spans="15:73"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/>
      <c r="BO269" s="102"/>
      <c r="BP269" s="102"/>
      <c r="BQ269" s="102"/>
      <c r="BR269" s="102"/>
      <c r="BS269" s="102"/>
      <c r="BT269" s="102"/>
      <c r="BU269" s="102"/>
    </row>
    <row r="270" spans="15:73"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/>
      <c r="BO270" s="102"/>
      <c r="BP270" s="102"/>
      <c r="BQ270" s="102"/>
      <c r="BR270" s="102"/>
      <c r="BS270" s="102"/>
      <c r="BT270" s="102"/>
      <c r="BU270" s="102"/>
    </row>
    <row r="271" spans="15:73"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/>
      <c r="BO271" s="102"/>
      <c r="BP271" s="102"/>
      <c r="BQ271" s="102"/>
      <c r="BR271" s="102"/>
      <c r="BS271" s="102"/>
      <c r="BT271" s="102"/>
      <c r="BU271" s="102"/>
    </row>
    <row r="272" spans="15:73"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/>
      <c r="BO272" s="102"/>
      <c r="BP272" s="102"/>
      <c r="BQ272" s="102"/>
      <c r="BR272" s="102"/>
      <c r="BS272" s="102"/>
      <c r="BT272" s="102"/>
      <c r="BU272" s="102"/>
    </row>
    <row r="273" spans="15:73"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/>
      <c r="BO273" s="102"/>
      <c r="BP273" s="102"/>
      <c r="BQ273" s="102"/>
      <c r="BR273" s="102"/>
      <c r="BS273" s="102"/>
      <c r="BT273" s="102"/>
      <c r="BU273" s="102"/>
    </row>
    <row r="274" spans="15:73"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/>
      <c r="BO274" s="102"/>
      <c r="BP274" s="102"/>
      <c r="BQ274" s="102"/>
      <c r="BR274" s="102"/>
      <c r="BS274" s="102"/>
      <c r="BT274" s="102"/>
      <c r="BU274" s="102"/>
    </row>
    <row r="275" spans="15:73"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102"/>
      <c r="BF275" s="102"/>
      <c r="BG275" s="102"/>
      <c r="BH275" s="102"/>
      <c r="BI275" s="102"/>
      <c r="BJ275" s="102"/>
      <c r="BK275" s="102"/>
      <c r="BL275" s="102"/>
      <c r="BM275" s="102"/>
      <c r="BN275" s="102"/>
      <c r="BO275" s="102"/>
      <c r="BP275" s="102"/>
      <c r="BQ275" s="102"/>
      <c r="BR275" s="102"/>
      <c r="BS275" s="102"/>
      <c r="BT275" s="102"/>
      <c r="BU275" s="102"/>
    </row>
    <row r="276" spans="15:73"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2"/>
      <c r="BC276" s="102"/>
      <c r="BD276" s="102"/>
      <c r="BE276" s="102"/>
      <c r="BF276" s="102"/>
      <c r="BG276" s="102"/>
      <c r="BH276" s="102"/>
      <c r="BI276" s="102"/>
      <c r="BJ276" s="102"/>
      <c r="BK276" s="102"/>
      <c r="BL276" s="102"/>
      <c r="BM276" s="102"/>
      <c r="BN276" s="102"/>
      <c r="BO276" s="102"/>
      <c r="BP276" s="102"/>
      <c r="BQ276" s="102"/>
      <c r="BR276" s="102"/>
      <c r="BS276" s="102"/>
      <c r="BT276" s="102"/>
      <c r="BU276" s="102"/>
    </row>
    <row r="277" spans="15:73"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/>
      <c r="BO277" s="102"/>
      <c r="BP277" s="102"/>
      <c r="BQ277" s="102"/>
      <c r="BR277" s="102"/>
      <c r="BS277" s="102"/>
      <c r="BT277" s="102"/>
      <c r="BU277" s="102"/>
    </row>
    <row r="278" spans="15:73"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/>
      <c r="BO278" s="102"/>
      <c r="BP278" s="102"/>
      <c r="BQ278" s="102"/>
      <c r="BR278" s="102"/>
      <c r="BS278" s="102"/>
      <c r="BT278" s="102"/>
      <c r="BU278" s="102"/>
    </row>
    <row r="279" spans="15:73"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/>
      <c r="BO279" s="102"/>
      <c r="BP279" s="102"/>
      <c r="BQ279" s="102"/>
      <c r="BR279" s="102"/>
      <c r="BS279" s="102"/>
      <c r="BT279" s="102"/>
      <c r="BU279" s="102"/>
    </row>
    <row r="280" spans="15:73"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/>
      <c r="BO280" s="102"/>
      <c r="BP280" s="102"/>
      <c r="BQ280" s="102"/>
      <c r="BR280" s="102"/>
      <c r="BS280" s="102"/>
      <c r="BT280" s="102"/>
      <c r="BU280" s="102"/>
    </row>
    <row r="281" spans="15:73"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/>
      <c r="BO281" s="102"/>
      <c r="BP281" s="102"/>
      <c r="BQ281" s="102"/>
      <c r="BR281" s="102"/>
      <c r="BS281" s="102"/>
      <c r="BT281" s="102"/>
      <c r="BU281" s="102"/>
    </row>
    <row r="282" spans="15:73"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/>
      <c r="BO282" s="102"/>
      <c r="BP282" s="102"/>
      <c r="BQ282" s="102"/>
      <c r="BR282" s="102"/>
      <c r="BS282" s="102"/>
      <c r="BT282" s="102"/>
      <c r="BU282" s="102"/>
    </row>
    <row r="283" spans="15:73"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/>
      <c r="BO283" s="102"/>
      <c r="BP283" s="102"/>
      <c r="BQ283" s="102"/>
      <c r="BR283" s="102"/>
      <c r="BS283" s="102"/>
      <c r="BT283" s="102"/>
      <c r="BU283" s="102"/>
    </row>
    <row r="284" spans="15:73"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/>
      <c r="BO284" s="102"/>
      <c r="BP284" s="102"/>
      <c r="BQ284" s="102"/>
      <c r="BR284" s="102"/>
      <c r="BS284" s="102"/>
      <c r="BT284" s="102"/>
      <c r="BU284" s="102"/>
    </row>
    <row r="285" spans="15:73"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02"/>
      <c r="BB285" s="102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/>
      <c r="BO285" s="102"/>
      <c r="BP285" s="102"/>
      <c r="BQ285" s="102"/>
      <c r="BR285" s="102"/>
      <c r="BS285" s="102"/>
      <c r="BT285" s="102"/>
      <c r="BU285" s="102"/>
    </row>
    <row r="286" spans="15:73"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  <c r="AV286" s="102"/>
      <c r="AW286" s="102"/>
      <c r="AX286" s="102"/>
      <c r="AY286" s="102"/>
      <c r="AZ286" s="102"/>
      <c r="BA286" s="102"/>
      <c r="BB286" s="102"/>
      <c r="BC286" s="102"/>
      <c r="BD286" s="102"/>
      <c r="BE286" s="102"/>
      <c r="BF286" s="102"/>
      <c r="BG286" s="102"/>
      <c r="BH286" s="102"/>
      <c r="BI286" s="102"/>
      <c r="BJ286" s="102"/>
      <c r="BK286" s="102"/>
      <c r="BL286" s="102"/>
      <c r="BM286" s="102"/>
      <c r="BN286" s="102"/>
      <c r="BO286" s="102"/>
      <c r="BP286" s="102"/>
      <c r="BQ286" s="102"/>
      <c r="BR286" s="102"/>
      <c r="BS286" s="102"/>
      <c r="BT286" s="102"/>
      <c r="BU286" s="102"/>
    </row>
    <row r="287" spans="15:73"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  <c r="BG287" s="102"/>
      <c r="BH287" s="102"/>
      <c r="BI287" s="102"/>
      <c r="BJ287" s="102"/>
      <c r="BK287" s="102"/>
      <c r="BL287" s="102"/>
      <c r="BM287" s="102"/>
      <c r="BN287" s="102"/>
      <c r="BO287" s="102"/>
      <c r="BP287" s="102"/>
      <c r="BQ287" s="102"/>
      <c r="BR287" s="102"/>
      <c r="BS287" s="102"/>
      <c r="BT287" s="102"/>
      <c r="BU287" s="102"/>
    </row>
    <row r="288" spans="15:73"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/>
      <c r="BO288" s="102"/>
      <c r="BP288" s="102"/>
      <c r="BQ288" s="102"/>
      <c r="BR288" s="102"/>
      <c r="BS288" s="102"/>
      <c r="BT288" s="102"/>
      <c r="BU288" s="102"/>
    </row>
    <row r="289" spans="15:73"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/>
      <c r="BO289" s="102"/>
      <c r="BP289" s="102"/>
      <c r="BQ289" s="102"/>
      <c r="BR289" s="102"/>
      <c r="BS289" s="102"/>
      <c r="BT289" s="102"/>
      <c r="BU289" s="102"/>
    </row>
    <row r="290" spans="15:73"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02"/>
      <c r="BB290" s="102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/>
      <c r="BO290" s="102"/>
      <c r="BP290" s="102"/>
      <c r="BQ290" s="102"/>
      <c r="BR290" s="102"/>
      <c r="BS290" s="102"/>
      <c r="BT290" s="102"/>
      <c r="BU290" s="102"/>
    </row>
    <row r="291" spans="15:73"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/>
      <c r="BO291" s="102"/>
      <c r="BP291" s="102"/>
      <c r="BQ291" s="102"/>
      <c r="BR291" s="102"/>
      <c r="BS291" s="102"/>
      <c r="BT291" s="102"/>
      <c r="BU291" s="102"/>
    </row>
    <row r="292" spans="15:73"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/>
      <c r="BO292" s="102"/>
      <c r="BP292" s="102"/>
      <c r="BQ292" s="102"/>
      <c r="BR292" s="102"/>
      <c r="BS292" s="102"/>
      <c r="BT292" s="102"/>
      <c r="BU292" s="102"/>
    </row>
    <row r="293" spans="15:73"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  <c r="AE293" s="102"/>
      <c r="AF293" s="102"/>
      <c r="AG293" s="102"/>
      <c r="AH293" s="102"/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/>
      <c r="BO293" s="102"/>
      <c r="BP293" s="102"/>
      <c r="BQ293" s="102"/>
      <c r="BR293" s="102"/>
      <c r="BS293" s="102"/>
      <c r="BT293" s="102"/>
      <c r="BU293" s="102"/>
    </row>
    <row r="294" spans="15:73"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  <c r="AE294" s="102"/>
      <c r="AF294" s="102"/>
      <c r="AG294" s="102"/>
      <c r="AH294" s="102"/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/>
      <c r="BO294" s="102"/>
      <c r="BP294" s="102"/>
      <c r="BQ294" s="102"/>
      <c r="BR294" s="102"/>
      <c r="BS294" s="102"/>
      <c r="BT294" s="102"/>
      <c r="BU294" s="102"/>
    </row>
    <row r="295" spans="15:73"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/>
      <c r="BO295" s="102"/>
      <c r="BP295" s="102"/>
      <c r="BQ295" s="102"/>
      <c r="BR295" s="102"/>
      <c r="BS295" s="102"/>
      <c r="BT295" s="102"/>
      <c r="BU295" s="102"/>
    </row>
    <row r="296" spans="15:73"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/>
      <c r="BO296" s="102"/>
      <c r="BP296" s="102"/>
      <c r="BQ296" s="102"/>
      <c r="BR296" s="102"/>
      <c r="BS296" s="102"/>
      <c r="BT296" s="102"/>
      <c r="BU296" s="102"/>
    </row>
    <row r="297" spans="15:73"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  <c r="AF297" s="102"/>
      <c r="AG297" s="102"/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  <c r="AV297" s="102"/>
      <c r="AW297" s="102"/>
      <c r="AX297" s="102"/>
      <c r="AY297" s="102"/>
      <c r="AZ297" s="102"/>
      <c r="BA297" s="102"/>
      <c r="BB297" s="102"/>
      <c r="BC297" s="102"/>
      <c r="BD297" s="102"/>
      <c r="BE297" s="102"/>
      <c r="BF297" s="102"/>
      <c r="BG297" s="102"/>
      <c r="BH297" s="102"/>
      <c r="BI297" s="102"/>
      <c r="BJ297" s="102"/>
      <c r="BK297" s="102"/>
      <c r="BL297" s="102"/>
      <c r="BM297" s="102"/>
      <c r="BN297" s="102"/>
      <c r="BO297" s="102"/>
      <c r="BP297" s="102"/>
      <c r="BQ297" s="102"/>
      <c r="BR297" s="102"/>
      <c r="BS297" s="102"/>
      <c r="BT297" s="102"/>
      <c r="BU297" s="102"/>
    </row>
    <row r="298" spans="15:73"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2"/>
      <c r="BC298" s="102"/>
      <c r="BD298" s="102"/>
      <c r="BE298" s="102"/>
      <c r="BF298" s="102"/>
      <c r="BG298" s="102"/>
      <c r="BH298" s="102"/>
      <c r="BI298" s="102"/>
      <c r="BJ298" s="102"/>
      <c r="BK298" s="102"/>
      <c r="BL298" s="102"/>
      <c r="BM298" s="102"/>
      <c r="BN298" s="102"/>
      <c r="BO298" s="102"/>
      <c r="BP298" s="102"/>
      <c r="BQ298" s="102"/>
      <c r="BR298" s="102"/>
      <c r="BS298" s="102"/>
      <c r="BT298" s="102"/>
      <c r="BU298" s="102"/>
    </row>
    <row r="299" spans="15:73"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/>
      <c r="BO299" s="102"/>
      <c r="BP299" s="102"/>
      <c r="BQ299" s="102"/>
      <c r="BR299" s="102"/>
      <c r="BS299" s="102"/>
      <c r="BT299" s="102"/>
      <c r="BU299" s="102"/>
    </row>
    <row r="300" spans="15:73"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/>
      <c r="BO300" s="102"/>
      <c r="BP300" s="102"/>
      <c r="BQ300" s="102"/>
      <c r="BR300" s="102"/>
      <c r="BS300" s="102"/>
      <c r="BT300" s="102"/>
      <c r="BU300" s="102"/>
    </row>
    <row r="301" spans="15:73"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/>
      <c r="BO301" s="102"/>
      <c r="BP301" s="102"/>
      <c r="BQ301" s="102"/>
      <c r="BR301" s="102"/>
      <c r="BS301" s="102"/>
      <c r="BT301" s="102"/>
      <c r="BU301" s="102"/>
    </row>
    <row r="302" spans="15:73"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/>
      <c r="BO302" s="102"/>
      <c r="BP302" s="102"/>
      <c r="BQ302" s="102"/>
      <c r="BR302" s="102"/>
      <c r="BS302" s="102"/>
      <c r="BT302" s="102"/>
      <c r="BU302" s="102"/>
    </row>
    <row r="303" spans="15:73"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  <c r="AE303" s="102"/>
      <c r="AF303" s="102"/>
      <c r="AG303" s="102"/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/>
      <c r="BO303" s="102"/>
      <c r="BP303" s="102"/>
      <c r="BQ303" s="102"/>
      <c r="BR303" s="102"/>
      <c r="BS303" s="102"/>
      <c r="BT303" s="102"/>
      <c r="BU303" s="102"/>
    </row>
    <row r="304" spans="15:73"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  <c r="AE304" s="102"/>
      <c r="AF304" s="102"/>
      <c r="AG304" s="102"/>
      <c r="AH304" s="102"/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/>
      <c r="BO304" s="102"/>
      <c r="BP304" s="102"/>
      <c r="BQ304" s="102"/>
      <c r="BR304" s="102"/>
      <c r="BS304" s="102"/>
      <c r="BT304" s="102"/>
      <c r="BU304" s="102"/>
    </row>
    <row r="305" spans="15:73"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  <c r="AF305" s="102"/>
      <c r="AG305" s="102"/>
      <c r="AH305" s="102"/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/>
      <c r="BO305" s="102"/>
      <c r="BP305" s="102"/>
      <c r="BQ305" s="102"/>
      <c r="BR305" s="102"/>
      <c r="BS305" s="102"/>
      <c r="BT305" s="102"/>
      <c r="BU305" s="102"/>
    </row>
    <row r="306" spans="15:73"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/>
      <c r="BO306" s="102"/>
      <c r="BP306" s="102"/>
      <c r="BQ306" s="102"/>
      <c r="BR306" s="102"/>
      <c r="BS306" s="102"/>
      <c r="BT306" s="102"/>
      <c r="BU306" s="102"/>
    </row>
    <row r="307" spans="15:73"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  <c r="BG307" s="102"/>
      <c r="BH307" s="102"/>
      <c r="BI307" s="102"/>
      <c r="BJ307" s="102"/>
      <c r="BK307" s="102"/>
      <c r="BL307" s="102"/>
      <c r="BM307" s="102"/>
      <c r="BN307" s="102"/>
      <c r="BO307" s="102"/>
      <c r="BP307" s="102"/>
      <c r="BQ307" s="102"/>
      <c r="BR307" s="102"/>
      <c r="BS307" s="102"/>
      <c r="BT307" s="102"/>
      <c r="BU307" s="102"/>
    </row>
    <row r="308" spans="15:73"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  <c r="AB308" s="102"/>
      <c r="AC308" s="102"/>
      <c r="AD308" s="102"/>
      <c r="AE308" s="102"/>
      <c r="AF308" s="102"/>
      <c r="AG308" s="102"/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  <c r="AV308" s="102"/>
      <c r="AW308" s="102"/>
      <c r="AX308" s="102"/>
      <c r="AY308" s="102"/>
      <c r="AZ308" s="102"/>
      <c r="BA308" s="102"/>
      <c r="BB308" s="102"/>
      <c r="BC308" s="102"/>
      <c r="BD308" s="102"/>
      <c r="BE308" s="102"/>
      <c r="BF308" s="102"/>
      <c r="BG308" s="102"/>
      <c r="BH308" s="102"/>
      <c r="BI308" s="102"/>
      <c r="BJ308" s="102"/>
      <c r="BK308" s="102"/>
      <c r="BL308" s="102"/>
      <c r="BM308" s="102"/>
      <c r="BN308" s="102"/>
      <c r="BO308" s="102"/>
      <c r="BP308" s="102"/>
      <c r="BQ308" s="102"/>
      <c r="BR308" s="102"/>
      <c r="BS308" s="102"/>
      <c r="BT308" s="102"/>
      <c r="BU308" s="102"/>
    </row>
    <row r="309" spans="15:73"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  <c r="AA309" s="102"/>
      <c r="AB309" s="102"/>
      <c r="AC309" s="102"/>
      <c r="AD309" s="102"/>
      <c r="AE309" s="102"/>
      <c r="AF309" s="102"/>
      <c r="AG309" s="102"/>
      <c r="AH309" s="102"/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  <c r="AV309" s="102"/>
      <c r="AW309" s="102"/>
      <c r="AX309" s="102"/>
      <c r="AY309" s="102"/>
      <c r="AZ309" s="102"/>
      <c r="BA309" s="102"/>
      <c r="BB309" s="102"/>
      <c r="BC309" s="102"/>
      <c r="BD309" s="102"/>
      <c r="BE309" s="102"/>
      <c r="BF309" s="102"/>
      <c r="BG309" s="102"/>
      <c r="BH309" s="102"/>
      <c r="BI309" s="102"/>
      <c r="BJ309" s="102"/>
      <c r="BK309" s="102"/>
      <c r="BL309" s="102"/>
      <c r="BM309" s="102"/>
      <c r="BN309" s="102"/>
      <c r="BO309" s="102"/>
      <c r="BP309" s="102"/>
      <c r="BQ309" s="102"/>
      <c r="BR309" s="102"/>
      <c r="BS309" s="102"/>
      <c r="BT309" s="102"/>
      <c r="BU309" s="102"/>
    </row>
    <row r="310" spans="15:73"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  <c r="AA310" s="102"/>
      <c r="AB310" s="102"/>
      <c r="AC310" s="102"/>
      <c r="AD310" s="102"/>
      <c r="AE310" s="102"/>
      <c r="AF310" s="102"/>
      <c r="AG310" s="102"/>
      <c r="AH310" s="102"/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/>
      <c r="BO310" s="102"/>
      <c r="BP310" s="102"/>
      <c r="BQ310" s="102"/>
      <c r="BR310" s="102"/>
      <c r="BS310" s="102"/>
      <c r="BT310" s="102"/>
      <c r="BU310" s="102"/>
    </row>
    <row r="311" spans="15:73"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  <c r="AA311" s="102"/>
      <c r="AB311" s="102"/>
      <c r="AC311" s="102"/>
      <c r="AD311" s="102"/>
      <c r="AE311" s="102"/>
      <c r="AF311" s="102"/>
      <c r="AG311" s="102"/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  <c r="BH311" s="102"/>
      <c r="BI311" s="102"/>
      <c r="BJ311" s="102"/>
      <c r="BK311" s="102"/>
      <c r="BL311" s="102"/>
      <c r="BM311" s="102"/>
      <c r="BN311" s="102"/>
      <c r="BO311" s="102"/>
      <c r="BP311" s="102"/>
      <c r="BQ311" s="102"/>
      <c r="BR311" s="102"/>
      <c r="BS311" s="102"/>
      <c r="BT311" s="102"/>
      <c r="BU311" s="102"/>
    </row>
    <row r="312" spans="15:73"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  <c r="AA312" s="102"/>
      <c r="AB312" s="102"/>
      <c r="AC312" s="102"/>
      <c r="AD312" s="102"/>
      <c r="AE312" s="102"/>
      <c r="AF312" s="102"/>
      <c r="AG312" s="102"/>
      <c r="AH312" s="102"/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/>
      <c r="BO312" s="102"/>
      <c r="BP312" s="102"/>
      <c r="BQ312" s="102"/>
      <c r="BR312" s="102"/>
      <c r="BS312" s="102"/>
      <c r="BT312" s="102"/>
      <c r="BU312" s="102"/>
    </row>
    <row r="313" spans="15:73"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  <c r="AA313" s="102"/>
      <c r="AB313" s="102"/>
      <c r="AC313" s="102"/>
      <c r="AD313" s="102"/>
      <c r="AE313" s="102"/>
      <c r="AF313" s="102"/>
      <c r="AG313" s="102"/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/>
      <c r="BO313" s="102"/>
      <c r="BP313" s="102"/>
      <c r="BQ313" s="102"/>
      <c r="BR313" s="102"/>
      <c r="BS313" s="102"/>
      <c r="BT313" s="102"/>
      <c r="BU313" s="102"/>
    </row>
    <row r="314" spans="15:73"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  <c r="AE314" s="102"/>
      <c r="AF314" s="102"/>
      <c r="AG314" s="102"/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/>
      <c r="BO314" s="102"/>
      <c r="BP314" s="102"/>
      <c r="BQ314" s="102"/>
      <c r="BR314" s="102"/>
      <c r="BS314" s="102"/>
      <c r="BT314" s="102"/>
      <c r="BU314" s="102"/>
    </row>
    <row r="315" spans="15:73"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  <c r="AA315" s="102"/>
      <c r="AB315" s="102"/>
      <c r="AC315" s="102"/>
      <c r="AD315" s="102"/>
      <c r="AE315" s="102"/>
      <c r="AF315" s="102"/>
      <c r="AG315" s="102"/>
      <c r="AH315" s="102"/>
      <c r="AI315" s="102"/>
      <c r="AJ315" s="102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  <c r="BC315" s="102"/>
      <c r="BD315" s="102"/>
      <c r="BE315" s="102"/>
      <c r="BF315" s="102"/>
      <c r="BG315" s="102"/>
      <c r="BH315" s="102"/>
      <c r="BI315" s="102"/>
      <c r="BJ315" s="102"/>
      <c r="BK315" s="102"/>
      <c r="BL315" s="102"/>
      <c r="BM315" s="102"/>
      <c r="BN315" s="102"/>
      <c r="BO315" s="102"/>
      <c r="BP315" s="102"/>
      <c r="BQ315" s="102"/>
      <c r="BR315" s="102"/>
      <c r="BS315" s="102"/>
      <c r="BT315" s="102"/>
      <c r="BU315" s="102"/>
    </row>
    <row r="316" spans="15:73"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  <c r="AB316" s="102"/>
      <c r="AC316" s="102"/>
      <c r="AD316" s="102"/>
      <c r="AE316" s="102"/>
      <c r="AF316" s="102"/>
      <c r="AG316" s="102"/>
      <c r="AH316" s="102"/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/>
      <c r="BO316" s="102"/>
      <c r="BP316" s="102"/>
      <c r="BQ316" s="102"/>
      <c r="BR316" s="102"/>
      <c r="BS316" s="102"/>
      <c r="BT316" s="102"/>
      <c r="BU316" s="102"/>
    </row>
    <row r="317" spans="15:73"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  <c r="AA317" s="102"/>
      <c r="AB317" s="102"/>
      <c r="AC317" s="102"/>
      <c r="AD317" s="102"/>
      <c r="AE317" s="102"/>
      <c r="AF317" s="102"/>
      <c r="AG317" s="102"/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/>
      <c r="BO317" s="102"/>
      <c r="BP317" s="102"/>
      <c r="BQ317" s="102"/>
      <c r="BR317" s="102"/>
      <c r="BS317" s="102"/>
      <c r="BT317" s="102"/>
      <c r="BU317" s="102"/>
    </row>
    <row r="318" spans="15:73"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  <c r="AA318" s="102"/>
      <c r="AB318" s="102"/>
      <c r="AC318" s="102"/>
      <c r="AD318" s="102"/>
      <c r="AE318" s="102"/>
      <c r="AF318" s="102"/>
      <c r="AG318" s="102"/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/>
      <c r="BO318" s="102"/>
      <c r="BP318" s="102"/>
      <c r="BQ318" s="102"/>
      <c r="BR318" s="102"/>
      <c r="BS318" s="102"/>
      <c r="BT318" s="102"/>
      <c r="BU318" s="102"/>
    </row>
    <row r="319" spans="15:73"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  <c r="AA319" s="102"/>
      <c r="AB319" s="102"/>
      <c r="AC319" s="102"/>
      <c r="AD319" s="102"/>
      <c r="AE319" s="102"/>
      <c r="AF319" s="102"/>
      <c r="AG319" s="102"/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  <c r="AV319" s="102"/>
      <c r="AW319" s="102"/>
      <c r="AX319" s="102"/>
      <c r="AY319" s="102"/>
      <c r="AZ319" s="102"/>
      <c r="BA319" s="102"/>
      <c r="BB319" s="102"/>
      <c r="BC319" s="102"/>
      <c r="BD319" s="102"/>
      <c r="BE319" s="102"/>
      <c r="BF319" s="102"/>
      <c r="BG319" s="102"/>
      <c r="BH319" s="102"/>
      <c r="BI319" s="102"/>
      <c r="BJ319" s="102"/>
      <c r="BK319" s="102"/>
      <c r="BL319" s="102"/>
      <c r="BM319" s="102"/>
      <c r="BN319" s="102"/>
      <c r="BO319" s="102"/>
      <c r="BP319" s="102"/>
      <c r="BQ319" s="102"/>
      <c r="BR319" s="102"/>
      <c r="BS319" s="102"/>
      <c r="BT319" s="102"/>
      <c r="BU319" s="102"/>
    </row>
    <row r="320" spans="15:73"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  <c r="AV320" s="102"/>
      <c r="AW320" s="102"/>
      <c r="AX320" s="102"/>
      <c r="AY320" s="102"/>
      <c r="AZ320" s="102"/>
      <c r="BA320" s="102"/>
      <c r="BB320" s="102"/>
      <c r="BC320" s="102"/>
      <c r="BD320" s="102"/>
      <c r="BE320" s="102"/>
      <c r="BF320" s="102"/>
      <c r="BG320" s="102"/>
      <c r="BH320" s="102"/>
      <c r="BI320" s="102"/>
      <c r="BJ320" s="102"/>
      <c r="BK320" s="102"/>
      <c r="BL320" s="102"/>
      <c r="BM320" s="102"/>
      <c r="BN320" s="102"/>
      <c r="BO320" s="102"/>
      <c r="BP320" s="102"/>
      <c r="BQ320" s="102"/>
      <c r="BR320" s="102"/>
      <c r="BS320" s="102"/>
      <c r="BT320" s="102"/>
      <c r="BU320" s="102"/>
    </row>
    <row r="321" spans="15:73"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  <c r="BG321" s="102"/>
      <c r="BH321" s="102"/>
      <c r="BI321" s="102"/>
      <c r="BJ321" s="102"/>
      <c r="BK321" s="102"/>
      <c r="BL321" s="102"/>
      <c r="BM321" s="102"/>
      <c r="BN321" s="102"/>
      <c r="BO321" s="102"/>
      <c r="BP321" s="102"/>
      <c r="BQ321" s="102"/>
      <c r="BR321" s="102"/>
      <c r="BS321" s="102"/>
      <c r="BT321" s="102"/>
      <c r="BU321" s="102"/>
    </row>
    <row r="322" spans="15:73"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  <c r="AA322" s="102"/>
      <c r="AB322" s="102"/>
      <c r="AC322" s="102"/>
      <c r="AD322" s="102"/>
      <c r="AE322" s="102"/>
      <c r="AF322" s="102"/>
      <c r="AG322" s="102"/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/>
      <c r="BO322" s="102"/>
      <c r="BP322" s="102"/>
      <c r="BQ322" s="102"/>
      <c r="BR322" s="102"/>
      <c r="BS322" s="102"/>
      <c r="BT322" s="102"/>
      <c r="BU322" s="102"/>
    </row>
    <row r="323" spans="15:73"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  <c r="AE323" s="102"/>
      <c r="AF323" s="102"/>
      <c r="AG323" s="102"/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/>
      <c r="BO323" s="102"/>
      <c r="BP323" s="102"/>
      <c r="BQ323" s="102"/>
      <c r="BR323" s="102"/>
      <c r="BS323" s="102"/>
      <c r="BT323" s="102"/>
      <c r="BU323" s="102"/>
    </row>
    <row r="324" spans="15:73"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/>
      <c r="BO324" s="102"/>
      <c r="BP324" s="102"/>
      <c r="BQ324" s="102"/>
      <c r="BR324" s="102"/>
      <c r="BS324" s="102"/>
      <c r="BT324" s="102"/>
      <c r="BU324" s="102"/>
    </row>
    <row r="325" spans="15:73"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  <c r="AE325" s="102"/>
      <c r="AF325" s="102"/>
      <c r="AG325" s="102"/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/>
      <c r="BO325" s="102"/>
      <c r="BP325" s="102"/>
      <c r="BQ325" s="102"/>
      <c r="BR325" s="102"/>
      <c r="BS325" s="102"/>
      <c r="BT325" s="102"/>
      <c r="BU325" s="102"/>
    </row>
    <row r="326" spans="15:73"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102"/>
      <c r="AJ326" s="102"/>
      <c r="AK326" s="102"/>
      <c r="AL326" s="102"/>
      <c r="AM326" s="102"/>
      <c r="AN326" s="102"/>
      <c r="AO326" s="102"/>
      <c r="AP326" s="102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/>
      <c r="BO326" s="102"/>
      <c r="BP326" s="102"/>
      <c r="BQ326" s="102"/>
      <c r="BR326" s="102"/>
      <c r="BS326" s="102"/>
      <c r="BT326" s="102"/>
      <c r="BU326" s="102"/>
    </row>
    <row r="327" spans="15:73"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  <c r="AE327" s="102"/>
      <c r="AF327" s="102"/>
      <c r="AG327" s="102"/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  <c r="BH327" s="102"/>
      <c r="BI327" s="102"/>
      <c r="BJ327" s="102"/>
      <c r="BK327" s="102"/>
      <c r="BL327" s="102"/>
      <c r="BM327" s="102"/>
      <c r="BN327" s="102"/>
      <c r="BO327" s="102"/>
      <c r="BP327" s="102"/>
      <c r="BQ327" s="102"/>
      <c r="BR327" s="102"/>
      <c r="BS327" s="102"/>
      <c r="BT327" s="102"/>
      <c r="BU327" s="102"/>
    </row>
    <row r="328" spans="15:73"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  <c r="AE328" s="102"/>
      <c r="AF328" s="102"/>
      <c r="AG328" s="102"/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  <c r="BG328" s="102"/>
      <c r="BH328" s="102"/>
      <c r="BI328" s="102"/>
      <c r="BJ328" s="102"/>
      <c r="BK328" s="102"/>
      <c r="BL328" s="102"/>
      <c r="BM328" s="102"/>
      <c r="BN328" s="102"/>
      <c r="BO328" s="102"/>
      <c r="BP328" s="102"/>
      <c r="BQ328" s="102"/>
      <c r="BR328" s="102"/>
      <c r="BS328" s="102"/>
      <c r="BT328" s="102"/>
      <c r="BU328" s="102"/>
    </row>
    <row r="329" spans="15:73"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  <c r="BG329" s="102"/>
      <c r="BH329" s="102"/>
      <c r="BI329" s="102"/>
      <c r="BJ329" s="102"/>
      <c r="BK329" s="102"/>
      <c r="BL329" s="102"/>
      <c r="BM329" s="102"/>
      <c r="BN329" s="102"/>
      <c r="BO329" s="102"/>
      <c r="BP329" s="102"/>
      <c r="BQ329" s="102"/>
      <c r="BR329" s="102"/>
      <c r="BS329" s="102"/>
      <c r="BT329" s="102"/>
      <c r="BU329" s="102"/>
    </row>
    <row r="330" spans="15:73"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  <c r="AA330" s="102"/>
      <c r="AB330" s="102"/>
      <c r="AC330" s="102"/>
      <c r="AD330" s="102"/>
      <c r="AE330" s="102"/>
      <c r="AF330" s="102"/>
      <c r="AG330" s="102"/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  <c r="AV330" s="102"/>
      <c r="AW330" s="102"/>
      <c r="AX330" s="102"/>
      <c r="AY330" s="102"/>
      <c r="AZ330" s="102"/>
      <c r="BA330" s="102"/>
      <c r="BB330" s="102"/>
      <c r="BC330" s="102"/>
      <c r="BD330" s="102"/>
      <c r="BE330" s="102"/>
      <c r="BF330" s="102"/>
      <c r="BG330" s="102"/>
      <c r="BH330" s="102"/>
      <c r="BI330" s="102"/>
      <c r="BJ330" s="102"/>
      <c r="BK330" s="102"/>
      <c r="BL330" s="102"/>
      <c r="BM330" s="102"/>
      <c r="BN330" s="102"/>
      <c r="BO330" s="102"/>
      <c r="BP330" s="102"/>
      <c r="BQ330" s="102"/>
      <c r="BR330" s="102"/>
      <c r="BS330" s="102"/>
      <c r="BT330" s="102"/>
      <c r="BU330" s="102"/>
    </row>
    <row r="331" spans="15:73"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  <c r="AA331" s="102"/>
      <c r="AB331" s="102"/>
      <c r="AC331" s="102"/>
      <c r="AD331" s="102"/>
      <c r="AE331" s="102"/>
      <c r="AF331" s="102"/>
      <c r="AG331" s="102"/>
      <c r="AH331" s="102"/>
      <c r="AI331" s="102"/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  <c r="AV331" s="102"/>
      <c r="AW331" s="102"/>
      <c r="AX331" s="102"/>
      <c r="AY331" s="102"/>
      <c r="AZ331" s="102"/>
      <c r="BA331" s="102"/>
      <c r="BB331" s="102"/>
      <c r="BC331" s="102"/>
      <c r="BD331" s="102"/>
      <c r="BE331" s="102"/>
      <c r="BF331" s="102"/>
      <c r="BG331" s="102"/>
      <c r="BH331" s="102"/>
      <c r="BI331" s="102"/>
      <c r="BJ331" s="102"/>
      <c r="BK331" s="102"/>
      <c r="BL331" s="102"/>
      <c r="BM331" s="102"/>
      <c r="BN331" s="102"/>
      <c r="BO331" s="102"/>
      <c r="BP331" s="102"/>
      <c r="BQ331" s="102"/>
      <c r="BR331" s="102"/>
      <c r="BS331" s="102"/>
      <c r="BT331" s="102"/>
      <c r="BU331" s="102"/>
    </row>
    <row r="332" spans="15:73"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  <c r="AB332" s="102"/>
      <c r="AC332" s="102"/>
      <c r="AD332" s="102"/>
      <c r="AE332" s="102"/>
      <c r="AF332" s="102"/>
      <c r="AG332" s="102"/>
      <c r="AH332" s="102"/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  <c r="BG332" s="102"/>
      <c r="BH332" s="102"/>
      <c r="BI332" s="102"/>
      <c r="BJ332" s="102"/>
      <c r="BK332" s="102"/>
      <c r="BL332" s="102"/>
      <c r="BM332" s="102"/>
      <c r="BN332" s="102"/>
      <c r="BO332" s="102"/>
      <c r="BP332" s="102"/>
      <c r="BQ332" s="102"/>
      <c r="BR332" s="102"/>
      <c r="BS332" s="102"/>
      <c r="BT332" s="102"/>
      <c r="BU332" s="102"/>
    </row>
    <row r="333" spans="15:73"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  <c r="AA333" s="102"/>
      <c r="AB333" s="102"/>
      <c r="AC333" s="102"/>
      <c r="AD333" s="102"/>
      <c r="AE333" s="102"/>
      <c r="AF333" s="102"/>
      <c r="AG333" s="102"/>
      <c r="AH333" s="102"/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  <c r="BG333" s="102"/>
      <c r="BH333" s="102"/>
      <c r="BI333" s="102"/>
      <c r="BJ333" s="102"/>
      <c r="BK333" s="102"/>
      <c r="BL333" s="102"/>
      <c r="BM333" s="102"/>
      <c r="BN333" s="102"/>
      <c r="BO333" s="102"/>
      <c r="BP333" s="102"/>
      <c r="BQ333" s="102"/>
      <c r="BR333" s="102"/>
      <c r="BS333" s="102"/>
      <c r="BT333" s="102"/>
      <c r="BU333" s="102"/>
    </row>
    <row r="334" spans="15:73"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  <c r="AB334" s="102"/>
      <c r="AC334" s="102"/>
      <c r="AD334" s="102"/>
      <c r="AE334" s="102"/>
      <c r="AF334" s="102"/>
      <c r="AG334" s="102"/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  <c r="BH334" s="102"/>
      <c r="BI334" s="102"/>
      <c r="BJ334" s="102"/>
      <c r="BK334" s="102"/>
      <c r="BL334" s="102"/>
      <c r="BM334" s="102"/>
      <c r="BN334" s="102"/>
      <c r="BO334" s="102"/>
      <c r="BP334" s="102"/>
      <c r="BQ334" s="102"/>
      <c r="BR334" s="102"/>
      <c r="BS334" s="102"/>
      <c r="BT334" s="102"/>
      <c r="BU334" s="102"/>
    </row>
    <row r="335" spans="15:73"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  <c r="AB335" s="102"/>
      <c r="AC335" s="102"/>
      <c r="AD335" s="102"/>
      <c r="AE335" s="102"/>
      <c r="AF335" s="102"/>
      <c r="AG335" s="102"/>
      <c r="AH335" s="102"/>
      <c r="AI335" s="102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  <c r="BG335" s="102"/>
      <c r="BH335" s="102"/>
      <c r="BI335" s="102"/>
      <c r="BJ335" s="102"/>
      <c r="BK335" s="102"/>
      <c r="BL335" s="102"/>
      <c r="BM335" s="102"/>
      <c r="BN335" s="102"/>
      <c r="BO335" s="102"/>
      <c r="BP335" s="102"/>
      <c r="BQ335" s="102"/>
      <c r="BR335" s="102"/>
      <c r="BS335" s="102"/>
      <c r="BT335" s="102"/>
      <c r="BU335" s="102"/>
    </row>
    <row r="336" spans="15:73"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  <c r="AB336" s="102"/>
      <c r="AC336" s="102"/>
      <c r="AD336" s="102"/>
      <c r="AE336" s="102"/>
      <c r="AF336" s="102"/>
      <c r="AG336" s="102"/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  <c r="BG336" s="102"/>
      <c r="BH336" s="102"/>
      <c r="BI336" s="102"/>
      <c r="BJ336" s="102"/>
      <c r="BK336" s="102"/>
      <c r="BL336" s="102"/>
      <c r="BM336" s="102"/>
      <c r="BN336" s="102"/>
      <c r="BO336" s="102"/>
      <c r="BP336" s="102"/>
      <c r="BQ336" s="102"/>
      <c r="BR336" s="102"/>
      <c r="BS336" s="102"/>
      <c r="BT336" s="102"/>
      <c r="BU336" s="102"/>
    </row>
    <row r="337" spans="15:73"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  <c r="BM337" s="102"/>
      <c r="BN337" s="102"/>
      <c r="BO337" s="102"/>
      <c r="BP337" s="102"/>
      <c r="BQ337" s="102"/>
      <c r="BR337" s="102"/>
      <c r="BS337" s="102"/>
      <c r="BT337" s="102"/>
      <c r="BU337" s="102"/>
    </row>
    <row r="338" spans="15:73"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  <c r="BM338" s="102"/>
      <c r="BN338" s="102"/>
      <c r="BO338" s="102"/>
      <c r="BP338" s="102"/>
      <c r="BQ338" s="102"/>
      <c r="BR338" s="102"/>
      <c r="BS338" s="102"/>
      <c r="BT338" s="102"/>
      <c r="BU338" s="102"/>
    </row>
    <row r="339" spans="15:73"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  <c r="BI339" s="102"/>
      <c r="BJ339" s="102"/>
      <c r="BK339" s="102"/>
      <c r="BL339" s="102"/>
      <c r="BM339" s="102"/>
      <c r="BN339" s="102"/>
      <c r="BO339" s="102"/>
      <c r="BP339" s="102"/>
      <c r="BQ339" s="102"/>
      <c r="BR339" s="102"/>
      <c r="BS339" s="102"/>
      <c r="BT339" s="102"/>
      <c r="BU339" s="102"/>
    </row>
    <row r="340" spans="15:73"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  <c r="BL340" s="102"/>
      <c r="BM340" s="102"/>
      <c r="BN340" s="102"/>
      <c r="BO340" s="102"/>
      <c r="BP340" s="102"/>
      <c r="BQ340" s="102"/>
      <c r="BR340" s="102"/>
      <c r="BS340" s="102"/>
      <c r="BT340" s="102"/>
      <c r="BU340" s="102"/>
    </row>
    <row r="341" spans="15:73"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  <c r="BM341" s="102"/>
      <c r="BN341" s="102"/>
      <c r="BO341" s="102"/>
      <c r="BP341" s="102"/>
      <c r="BQ341" s="102"/>
      <c r="BR341" s="102"/>
      <c r="BS341" s="102"/>
      <c r="BT341" s="102"/>
      <c r="BU341" s="102"/>
    </row>
    <row r="342" spans="15:73"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  <c r="BM342" s="102"/>
      <c r="BN342" s="102"/>
      <c r="BO342" s="102"/>
      <c r="BP342" s="102"/>
      <c r="BQ342" s="102"/>
      <c r="BR342" s="102"/>
      <c r="BS342" s="102"/>
      <c r="BT342" s="102"/>
      <c r="BU342" s="102"/>
    </row>
    <row r="343" spans="15:73"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/>
      <c r="BO343" s="102"/>
      <c r="BP343" s="102"/>
      <c r="BQ343" s="102"/>
      <c r="BR343" s="102"/>
      <c r="BS343" s="102"/>
      <c r="BT343" s="102"/>
      <c r="BU343" s="102"/>
    </row>
    <row r="344" spans="15:73"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  <c r="BL344" s="102"/>
      <c r="BM344" s="102"/>
      <c r="BN344" s="102"/>
      <c r="BO344" s="102"/>
      <c r="BP344" s="102"/>
      <c r="BQ344" s="102"/>
      <c r="BR344" s="102"/>
      <c r="BS344" s="102"/>
      <c r="BT344" s="102"/>
      <c r="BU344" s="102"/>
    </row>
    <row r="345" spans="15:73"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/>
      <c r="BO345" s="102"/>
      <c r="BP345" s="102"/>
      <c r="BQ345" s="102"/>
      <c r="BR345" s="102"/>
      <c r="BS345" s="102"/>
      <c r="BT345" s="102"/>
      <c r="BU345" s="102"/>
    </row>
    <row r="346" spans="15:73"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/>
      <c r="BO346" s="102"/>
      <c r="BP346" s="102"/>
      <c r="BQ346" s="102"/>
      <c r="BR346" s="102"/>
      <c r="BS346" s="102"/>
      <c r="BT346" s="102"/>
      <c r="BU346" s="102"/>
    </row>
    <row r="347" spans="15:73"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/>
      <c r="BO347" s="102"/>
      <c r="BP347" s="102"/>
      <c r="BQ347" s="102"/>
      <c r="BR347" s="102"/>
      <c r="BS347" s="102"/>
      <c r="BT347" s="102"/>
      <c r="BU347" s="102"/>
    </row>
    <row r="348" spans="15:73"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  <c r="BG348" s="102"/>
      <c r="BH348" s="102"/>
      <c r="BI348" s="102"/>
      <c r="BJ348" s="102"/>
      <c r="BK348" s="102"/>
      <c r="BL348" s="102"/>
      <c r="BM348" s="102"/>
      <c r="BN348" s="102"/>
      <c r="BO348" s="102"/>
      <c r="BP348" s="102"/>
      <c r="BQ348" s="102"/>
      <c r="BR348" s="102"/>
      <c r="BS348" s="102"/>
      <c r="BT348" s="102"/>
      <c r="BU348" s="102"/>
    </row>
    <row r="349" spans="15:73"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/>
      <c r="BO349" s="102"/>
      <c r="BP349" s="102"/>
      <c r="BQ349" s="102"/>
      <c r="BR349" s="102"/>
      <c r="BS349" s="102"/>
      <c r="BT349" s="102"/>
      <c r="BU349" s="102"/>
    </row>
    <row r="350" spans="15:73"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/>
      <c r="BO350" s="102"/>
      <c r="BP350" s="102"/>
      <c r="BQ350" s="102"/>
      <c r="BR350" s="102"/>
      <c r="BS350" s="102"/>
      <c r="BT350" s="102"/>
      <c r="BU350" s="102"/>
    </row>
    <row r="351" spans="15:73"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/>
      <c r="BO351" s="102"/>
      <c r="BP351" s="102"/>
      <c r="BQ351" s="102"/>
      <c r="BR351" s="102"/>
      <c r="BS351" s="102"/>
      <c r="BT351" s="102"/>
      <c r="BU351" s="102"/>
    </row>
    <row r="352" spans="15:73"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  <c r="BA352" s="102"/>
      <c r="BB352" s="102"/>
      <c r="BC352" s="102"/>
      <c r="BD352" s="102"/>
      <c r="BE352" s="102"/>
      <c r="BF352" s="102"/>
      <c r="BG352" s="102"/>
      <c r="BH352" s="102"/>
      <c r="BI352" s="102"/>
      <c r="BJ352" s="102"/>
      <c r="BK352" s="102"/>
      <c r="BL352" s="102"/>
      <c r="BM352" s="102"/>
      <c r="BN352" s="102"/>
      <c r="BO352" s="102"/>
      <c r="BP352" s="102"/>
      <c r="BQ352" s="102"/>
      <c r="BR352" s="102"/>
      <c r="BS352" s="102"/>
      <c r="BT352" s="102"/>
      <c r="BU352" s="102"/>
    </row>
    <row r="353" spans="15:73"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  <c r="BA353" s="102"/>
      <c r="BB353" s="102"/>
      <c r="BC353" s="102"/>
      <c r="BD353" s="102"/>
      <c r="BE353" s="102"/>
      <c r="BF353" s="102"/>
      <c r="BG353" s="102"/>
      <c r="BH353" s="102"/>
      <c r="BI353" s="102"/>
      <c r="BJ353" s="102"/>
      <c r="BK353" s="102"/>
      <c r="BL353" s="102"/>
      <c r="BM353" s="102"/>
      <c r="BN353" s="102"/>
      <c r="BO353" s="102"/>
      <c r="BP353" s="102"/>
      <c r="BQ353" s="102"/>
      <c r="BR353" s="102"/>
      <c r="BS353" s="102"/>
      <c r="BT353" s="102"/>
      <c r="BU353" s="102"/>
    </row>
    <row r="354" spans="15:73"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/>
      <c r="BO354" s="102"/>
      <c r="BP354" s="102"/>
      <c r="BQ354" s="102"/>
      <c r="BR354" s="102"/>
      <c r="BS354" s="102"/>
      <c r="BT354" s="102"/>
      <c r="BU354" s="102"/>
    </row>
    <row r="355" spans="15:73"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/>
      <c r="BO355" s="102"/>
      <c r="BP355" s="102"/>
      <c r="BQ355" s="102"/>
      <c r="BR355" s="102"/>
      <c r="BS355" s="102"/>
      <c r="BT355" s="102"/>
      <c r="BU355" s="102"/>
    </row>
    <row r="356" spans="15:73"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102"/>
      <c r="BN356" s="102"/>
      <c r="BO356" s="102"/>
      <c r="BP356" s="102"/>
      <c r="BQ356" s="102"/>
      <c r="BR356" s="102"/>
      <c r="BS356" s="102"/>
      <c r="BT356" s="102"/>
      <c r="BU356" s="102"/>
    </row>
    <row r="357" spans="15:73"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02"/>
      <c r="BH357" s="102"/>
      <c r="BI357" s="102"/>
      <c r="BJ357" s="102"/>
      <c r="BK357" s="102"/>
      <c r="BL357" s="102"/>
      <c r="BM357" s="102"/>
      <c r="BN357" s="102"/>
      <c r="BO357" s="102"/>
      <c r="BP357" s="102"/>
      <c r="BQ357" s="102"/>
      <c r="BR357" s="102"/>
      <c r="BS357" s="102"/>
      <c r="BT357" s="102"/>
      <c r="BU357" s="102"/>
    </row>
    <row r="358" spans="15:73"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02"/>
      <c r="BH358" s="102"/>
      <c r="BI358" s="102"/>
      <c r="BJ358" s="102"/>
      <c r="BK358" s="102"/>
      <c r="BL358" s="102"/>
      <c r="BM358" s="102"/>
      <c r="BN358" s="102"/>
      <c r="BO358" s="102"/>
      <c r="BP358" s="102"/>
      <c r="BQ358" s="102"/>
      <c r="BR358" s="102"/>
      <c r="BS358" s="102"/>
      <c r="BT358" s="102"/>
      <c r="BU358" s="102"/>
    </row>
    <row r="359" spans="15:73"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/>
      <c r="BO359" s="102"/>
      <c r="BP359" s="102"/>
      <c r="BQ359" s="102"/>
      <c r="BR359" s="102"/>
      <c r="BS359" s="102"/>
      <c r="BT359" s="102"/>
      <c r="BU359" s="102"/>
    </row>
    <row r="360" spans="15:73"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/>
      <c r="BO360" s="102"/>
      <c r="BP360" s="102"/>
      <c r="BQ360" s="102"/>
      <c r="BR360" s="102"/>
      <c r="BS360" s="102"/>
      <c r="BT360" s="102"/>
      <c r="BU360" s="102"/>
    </row>
    <row r="361" spans="15:73"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  <c r="BG361" s="102"/>
      <c r="BH361" s="102"/>
      <c r="BI361" s="102"/>
      <c r="BJ361" s="102"/>
      <c r="BK361" s="102"/>
      <c r="BL361" s="102"/>
      <c r="BM361" s="102"/>
      <c r="BN361" s="102"/>
      <c r="BO361" s="102"/>
      <c r="BP361" s="102"/>
      <c r="BQ361" s="102"/>
      <c r="BR361" s="102"/>
      <c r="BS361" s="102"/>
      <c r="BT361" s="102"/>
      <c r="BU361" s="102"/>
    </row>
    <row r="362" spans="15:73"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02"/>
      <c r="BH362" s="102"/>
      <c r="BI362" s="102"/>
      <c r="BJ362" s="102"/>
      <c r="BK362" s="102"/>
      <c r="BL362" s="102"/>
      <c r="BM362" s="102"/>
      <c r="BN362" s="102"/>
      <c r="BO362" s="102"/>
      <c r="BP362" s="102"/>
      <c r="BQ362" s="102"/>
      <c r="BR362" s="102"/>
      <c r="BS362" s="102"/>
      <c r="BT362" s="102"/>
      <c r="BU362" s="102"/>
    </row>
    <row r="363" spans="15:73"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  <c r="AV363" s="102"/>
      <c r="AW363" s="102"/>
      <c r="AX363" s="102"/>
      <c r="AY363" s="102"/>
      <c r="AZ363" s="102"/>
      <c r="BA363" s="102"/>
      <c r="BB363" s="102"/>
      <c r="BC363" s="102"/>
      <c r="BD363" s="102"/>
      <c r="BE363" s="102"/>
      <c r="BF363" s="102"/>
      <c r="BG363" s="102"/>
      <c r="BH363" s="102"/>
      <c r="BI363" s="102"/>
      <c r="BJ363" s="102"/>
      <c r="BK363" s="102"/>
      <c r="BL363" s="102"/>
      <c r="BM363" s="102"/>
      <c r="BN363" s="102"/>
      <c r="BO363" s="102"/>
      <c r="BP363" s="102"/>
      <c r="BQ363" s="102"/>
      <c r="BR363" s="102"/>
      <c r="BS363" s="102"/>
      <c r="BT363" s="102"/>
      <c r="BU363" s="102"/>
    </row>
    <row r="364" spans="15:73"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  <c r="BA364" s="102"/>
      <c r="BB364" s="102"/>
      <c r="BC364" s="102"/>
      <c r="BD364" s="102"/>
      <c r="BE364" s="102"/>
      <c r="BF364" s="102"/>
      <c r="BG364" s="102"/>
      <c r="BH364" s="102"/>
      <c r="BI364" s="102"/>
      <c r="BJ364" s="102"/>
      <c r="BK364" s="102"/>
      <c r="BL364" s="102"/>
      <c r="BM364" s="102"/>
      <c r="BN364" s="102"/>
      <c r="BO364" s="102"/>
      <c r="BP364" s="102"/>
      <c r="BQ364" s="102"/>
      <c r="BR364" s="102"/>
      <c r="BS364" s="102"/>
      <c r="BT364" s="102"/>
      <c r="BU364" s="102"/>
    </row>
    <row r="365" spans="15:73"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/>
      <c r="BO365" s="102"/>
      <c r="BP365" s="102"/>
      <c r="BQ365" s="102"/>
      <c r="BR365" s="102"/>
      <c r="BS365" s="102"/>
      <c r="BT365" s="102"/>
      <c r="BU365" s="102"/>
    </row>
    <row r="366" spans="15:73"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/>
      <c r="BO366" s="102"/>
      <c r="BP366" s="102"/>
      <c r="BQ366" s="102"/>
      <c r="BR366" s="102"/>
      <c r="BS366" s="102"/>
      <c r="BT366" s="102"/>
      <c r="BU366" s="102"/>
    </row>
    <row r="367" spans="15:73"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/>
      <c r="BO367" s="102"/>
      <c r="BP367" s="102"/>
      <c r="BQ367" s="102"/>
      <c r="BR367" s="102"/>
      <c r="BS367" s="102"/>
      <c r="BT367" s="102"/>
      <c r="BU367" s="102"/>
    </row>
    <row r="368" spans="15:73"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/>
      <c r="BO368" s="102"/>
      <c r="BP368" s="102"/>
      <c r="BQ368" s="102"/>
      <c r="BR368" s="102"/>
      <c r="BS368" s="102"/>
      <c r="BT368" s="102"/>
      <c r="BU368" s="102"/>
    </row>
    <row r="369" spans="15:73"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/>
      <c r="BO369" s="102"/>
      <c r="BP369" s="102"/>
      <c r="BQ369" s="102"/>
      <c r="BR369" s="102"/>
      <c r="BS369" s="102"/>
      <c r="BT369" s="102"/>
      <c r="BU369" s="102"/>
    </row>
    <row r="370" spans="15:73"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/>
      <c r="BO370" s="102"/>
      <c r="BP370" s="102"/>
      <c r="BQ370" s="102"/>
      <c r="BR370" s="102"/>
      <c r="BS370" s="102"/>
      <c r="BT370" s="102"/>
      <c r="BU370" s="102"/>
    </row>
    <row r="371" spans="15:73"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02"/>
      <c r="BH371" s="102"/>
      <c r="BI371" s="102"/>
      <c r="BJ371" s="102"/>
      <c r="BK371" s="102"/>
      <c r="BL371" s="102"/>
      <c r="BM371" s="102"/>
      <c r="BN371" s="102"/>
      <c r="BO371" s="102"/>
      <c r="BP371" s="102"/>
      <c r="BQ371" s="102"/>
      <c r="BR371" s="102"/>
      <c r="BS371" s="102"/>
      <c r="BT371" s="102"/>
      <c r="BU371" s="102"/>
    </row>
    <row r="372" spans="15:73"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/>
      <c r="BO372" s="102"/>
      <c r="BP372" s="102"/>
      <c r="BQ372" s="102"/>
      <c r="BR372" s="102"/>
      <c r="BS372" s="102"/>
      <c r="BT372" s="102"/>
      <c r="BU372" s="102"/>
    </row>
    <row r="373" spans="15:73"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  <c r="BI373" s="102"/>
      <c r="BJ373" s="102"/>
      <c r="BK373" s="102"/>
      <c r="BL373" s="102"/>
      <c r="BM373" s="102"/>
      <c r="BN373" s="102"/>
      <c r="BO373" s="102"/>
      <c r="BP373" s="102"/>
      <c r="BQ373" s="102"/>
      <c r="BR373" s="102"/>
      <c r="BS373" s="102"/>
      <c r="BT373" s="102"/>
      <c r="BU373" s="102"/>
    </row>
    <row r="374" spans="15:73"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  <c r="AV374" s="102"/>
      <c r="AW374" s="102"/>
      <c r="AX374" s="102"/>
      <c r="AY374" s="102"/>
      <c r="AZ374" s="102"/>
      <c r="BA374" s="102"/>
      <c r="BB374" s="102"/>
      <c r="BC374" s="102"/>
      <c r="BD374" s="102"/>
      <c r="BE374" s="102"/>
      <c r="BF374" s="102"/>
      <c r="BG374" s="102"/>
      <c r="BH374" s="102"/>
      <c r="BI374" s="102"/>
      <c r="BJ374" s="102"/>
      <c r="BK374" s="102"/>
      <c r="BL374" s="102"/>
      <c r="BM374" s="102"/>
      <c r="BN374" s="102"/>
      <c r="BO374" s="102"/>
      <c r="BP374" s="102"/>
      <c r="BQ374" s="102"/>
      <c r="BR374" s="102"/>
      <c r="BS374" s="102"/>
      <c r="BT374" s="102"/>
      <c r="BU374" s="102"/>
    </row>
    <row r="375" spans="15:73"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  <c r="BA375" s="102"/>
      <c r="BB375" s="102"/>
      <c r="BC375" s="102"/>
      <c r="BD375" s="102"/>
      <c r="BE375" s="102"/>
      <c r="BF375" s="102"/>
      <c r="BG375" s="102"/>
      <c r="BH375" s="102"/>
      <c r="BI375" s="102"/>
      <c r="BJ375" s="102"/>
      <c r="BK375" s="102"/>
      <c r="BL375" s="102"/>
      <c r="BM375" s="102"/>
      <c r="BN375" s="102"/>
      <c r="BO375" s="102"/>
      <c r="BP375" s="102"/>
      <c r="BQ375" s="102"/>
      <c r="BR375" s="102"/>
      <c r="BS375" s="102"/>
      <c r="BT375" s="102"/>
      <c r="BU375" s="102"/>
    </row>
    <row r="376" spans="15:73"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/>
      <c r="BO376" s="102"/>
      <c r="BP376" s="102"/>
      <c r="BQ376" s="102"/>
      <c r="BR376" s="102"/>
      <c r="BS376" s="102"/>
      <c r="BT376" s="102"/>
      <c r="BU376" s="102"/>
    </row>
    <row r="377" spans="15:73"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  <c r="BA377" s="102"/>
      <c r="BB377" s="102"/>
      <c r="BC377" s="102"/>
      <c r="BD377" s="102"/>
      <c r="BE377" s="102"/>
      <c r="BF377" s="102"/>
      <c r="BG377" s="102"/>
      <c r="BH377" s="102"/>
      <c r="BI377" s="102"/>
      <c r="BJ377" s="102"/>
      <c r="BK377" s="102"/>
      <c r="BL377" s="102"/>
      <c r="BM377" s="102"/>
      <c r="BN377" s="102"/>
      <c r="BO377" s="102"/>
      <c r="BP377" s="102"/>
      <c r="BQ377" s="102"/>
      <c r="BR377" s="102"/>
      <c r="BS377" s="102"/>
      <c r="BT377" s="102"/>
      <c r="BU377" s="102"/>
    </row>
    <row r="378" spans="15:73"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  <c r="BA378" s="102"/>
      <c r="BB378" s="102"/>
      <c r="BC378" s="102"/>
      <c r="BD378" s="102"/>
      <c r="BE378" s="102"/>
      <c r="BF378" s="102"/>
      <c r="BG378" s="102"/>
      <c r="BH378" s="102"/>
      <c r="BI378" s="102"/>
      <c r="BJ378" s="102"/>
      <c r="BK378" s="102"/>
      <c r="BL378" s="102"/>
      <c r="BM378" s="102"/>
      <c r="BN378" s="102"/>
      <c r="BO378" s="102"/>
      <c r="BP378" s="102"/>
      <c r="BQ378" s="102"/>
      <c r="BR378" s="102"/>
      <c r="BS378" s="102"/>
      <c r="BT378" s="102"/>
      <c r="BU378" s="102"/>
    </row>
    <row r="379" spans="15:73"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  <c r="BA379" s="102"/>
      <c r="BB379" s="102"/>
      <c r="BC379" s="102"/>
      <c r="BD379" s="102"/>
      <c r="BE379" s="102"/>
      <c r="BF379" s="102"/>
      <c r="BG379" s="102"/>
      <c r="BH379" s="102"/>
      <c r="BI379" s="102"/>
      <c r="BJ379" s="102"/>
      <c r="BK379" s="102"/>
      <c r="BL379" s="102"/>
      <c r="BM379" s="102"/>
      <c r="BN379" s="102"/>
      <c r="BO379" s="102"/>
      <c r="BP379" s="102"/>
      <c r="BQ379" s="102"/>
      <c r="BR379" s="102"/>
      <c r="BS379" s="102"/>
      <c r="BT379" s="102"/>
      <c r="BU379" s="102"/>
    </row>
    <row r="380" spans="15:73"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  <c r="BA380" s="102"/>
      <c r="BB380" s="102"/>
      <c r="BC380" s="102"/>
      <c r="BD380" s="102"/>
      <c r="BE380" s="102"/>
      <c r="BF380" s="102"/>
      <c r="BG380" s="102"/>
      <c r="BH380" s="102"/>
      <c r="BI380" s="102"/>
      <c r="BJ380" s="102"/>
      <c r="BK380" s="102"/>
      <c r="BL380" s="102"/>
      <c r="BM380" s="102"/>
      <c r="BN380" s="102"/>
      <c r="BO380" s="102"/>
      <c r="BP380" s="102"/>
      <c r="BQ380" s="102"/>
      <c r="BR380" s="102"/>
      <c r="BS380" s="102"/>
      <c r="BT380" s="102"/>
      <c r="BU380" s="102"/>
    </row>
    <row r="381" spans="15:73"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  <c r="BA381" s="102"/>
      <c r="BB381" s="102"/>
      <c r="BC381" s="102"/>
      <c r="BD381" s="102"/>
      <c r="BE381" s="102"/>
      <c r="BF381" s="102"/>
      <c r="BG381" s="102"/>
      <c r="BH381" s="102"/>
      <c r="BI381" s="102"/>
      <c r="BJ381" s="102"/>
      <c r="BK381" s="102"/>
      <c r="BL381" s="102"/>
      <c r="BM381" s="102"/>
      <c r="BN381" s="102"/>
      <c r="BO381" s="102"/>
      <c r="BP381" s="102"/>
      <c r="BQ381" s="102"/>
      <c r="BR381" s="102"/>
      <c r="BS381" s="102"/>
      <c r="BT381" s="102"/>
      <c r="BU381" s="102"/>
    </row>
    <row r="382" spans="15:73"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  <c r="BA382" s="102"/>
      <c r="BB382" s="102"/>
      <c r="BC382" s="102"/>
      <c r="BD382" s="102"/>
      <c r="BE382" s="102"/>
      <c r="BF382" s="102"/>
      <c r="BG382" s="102"/>
      <c r="BH382" s="102"/>
      <c r="BI382" s="102"/>
      <c r="BJ382" s="102"/>
      <c r="BK382" s="102"/>
      <c r="BL382" s="102"/>
      <c r="BM382" s="102"/>
      <c r="BN382" s="102"/>
      <c r="BO382" s="102"/>
      <c r="BP382" s="102"/>
      <c r="BQ382" s="102"/>
      <c r="BR382" s="102"/>
      <c r="BS382" s="102"/>
      <c r="BT382" s="102"/>
      <c r="BU382" s="102"/>
    </row>
    <row r="383" spans="15:73"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  <c r="BC383" s="102"/>
      <c r="BD383" s="102"/>
      <c r="BE383" s="102"/>
      <c r="BF383" s="102"/>
      <c r="BG383" s="102"/>
      <c r="BH383" s="102"/>
      <c r="BI383" s="102"/>
      <c r="BJ383" s="102"/>
      <c r="BK383" s="102"/>
      <c r="BL383" s="102"/>
      <c r="BM383" s="102"/>
      <c r="BN383" s="102"/>
      <c r="BO383" s="102"/>
      <c r="BP383" s="102"/>
      <c r="BQ383" s="102"/>
      <c r="BR383" s="102"/>
      <c r="BS383" s="102"/>
      <c r="BT383" s="102"/>
      <c r="BU383" s="102"/>
    </row>
    <row r="384" spans="15:73"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  <c r="BA384" s="102"/>
      <c r="BB384" s="102"/>
      <c r="BC384" s="102"/>
      <c r="BD384" s="102"/>
      <c r="BE384" s="102"/>
      <c r="BF384" s="102"/>
      <c r="BG384" s="102"/>
      <c r="BH384" s="102"/>
      <c r="BI384" s="102"/>
      <c r="BJ384" s="102"/>
      <c r="BK384" s="102"/>
      <c r="BL384" s="102"/>
      <c r="BM384" s="102"/>
      <c r="BN384" s="102"/>
      <c r="BO384" s="102"/>
      <c r="BP384" s="102"/>
      <c r="BQ384" s="102"/>
      <c r="BR384" s="102"/>
      <c r="BS384" s="102"/>
      <c r="BT384" s="102"/>
      <c r="BU384" s="102"/>
    </row>
    <row r="385" spans="15:73"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  <c r="BA385" s="102"/>
      <c r="BB385" s="102"/>
      <c r="BC385" s="102"/>
      <c r="BD385" s="102"/>
      <c r="BE385" s="102"/>
      <c r="BF385" s="102"/>
      <c r="BG385" s="102"/>
      <c r="BH385" s="102"/>
      <c r="BI385" s="102"/>
      <c r="BJ385" s="102"/>
      <c r="BK385" s="102"/>
      <c r="BL385" s="102"/>
      <c r="BM385" s="102"/>
      <c r="BN385" s="102"/>
      <c r="BO385" s="102"/>
      <c r="BP385" s="102"/>
      <c r="BQ385" s="102"/>
      <c r="BR385" s="102"/>
      <c r="BS385" s="102"/>
      <c r="BT385" s="102"/>
      <c r="BU385" s="102"/>
    </row>
    <row r="386" spans="15:73"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  <c r="AV386" s="102"/>
      <c r="AW386" s="102"/>
      <c r="AX386" s="102"/>
      <c r="AY386" s="102"/>
      <c r="AZ386" s="102"/>
      <c r="BA386" s="102"/>
      <c r="BB386" s="102"/>
      <c r="BC386" s="102"/>
      <c r="BD386" s="102"/>
      <c r="BE386" s="102"/>
      <c r="BF386" s="102"/>
      <c r="BG386" s="102"/>
      <c r="BH386" s="102"/>
      <c r="BI386" s="102"/>
      <c r="BJ386" s="102"/>
      <c r="BK386" s="102"/>
      <c r="BL386" s="102"/>
      <c r="BM386" s="102"/>
      <c r="BN386" s="102"/>
      <c r="BO386" s="102"/>
      <c r="BP386" s="102"/>
      <c r="BQ386" s="102"/>
      <c r="BR386" s="102"/>
      <c r="BS386" s="102"/>
      <c r="BT386" s="102"/>
      <c r="BU386" s="102"/>
    </row>
    <row r="387" spans="15:73"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/>
      <c r="BO387" s="102"/>
      <c r="BP387" s="102"/>
      <c r="BQ387" s="102"/>
      <c r="BR387" s="102"/>
      <c r="BS387" s="102"/>
      <c r="BT387" s="102"/>
      <c r="BU387" s="102"/>
    </row>
    <row r="388" spans="15:73"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  <c r="BA388" s="102"/>
      <c r="BB388" s="102"/>
      <c r="BC388" s="102"/>
      <c r="BD388" s="102"/>
      <c r="BE388" s="102"/>
      <c r="BF388" s="102"/>
      <c r="BG388" s="102"/>
      <c r="BH388" s="102"/>
      <c r="BI388" s="102"/>
      <c r="BJ388" s="102"/>
      <c r="BK388" s="102"/>
      <c r="BL388" s="102"/>
      <c r="BM388" s="102"/>
      <c r="BN388" s="102"/>
      <c r="BO388" s="102"/>
      <c r="BP388" s="102"/>
      <c r="BQ388" s="102"/>
      <c r="BR388" s="102"/>
      <c r="BS388" s="102"/>
      <c r="BT388" s="102"/>
      <c r="BU388" s="102"/>
    </row>
    <row r="389" spans="15:73"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  <c r="BA389" s="102"/>
      <c r="BB389" s="102"/>
      <c r="BC389" s="102"/>
      <c r="BD389" s="102"/>
      <c r="BE389" s="102"/>
      <c r="BF389" s="102"/>
      <c r="BG389" s="102"/>
      <c r="BH389" s="102"/>
      <c r="BI389" s="102"/>
      <c r="BJ389" s="102"/>
      <c r="BK389" s="102"/>
      <c r="BL389" s="102"/>
      <c r="BM389" s="102"/>
      <c r="BN389" s="102"/>
      <c r="BO389" s="102"/>
      <c r="BP389" s="102"/>
      <c r="BQ389" s="102"/>
      <c r="BR389" s="102"/>
      <c r="BS389" s="102"/>
      <c r="BT389" s="102"/>
      <c r="BU389" s="102"/>
    </row>
    <row r="390" spans="15:73"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  <c r="BA390" s="102"/>
      <c r="BB390" s="102"/>
      <c r="BC390" s="102"/>
      <c r="BD390" s="102"/>
      <c r="BE390" s="102"/>
      <c r="BF390" s="102"/>
      <c r="BG390" s="102"/>
      <c r="BH390" s="102"/>
      <c r="BI390" s="102"/>
      <c r="BJ390" s="102"/>
      <c r="BK390" s="102"/>
      <c r="BL390" s="102"/>
      <c r="BM390" s="102"/>
      <c r="BN390" s="102"/>
      <c r="BO390" s="102"/>
      <c r="BP390" s="102"/>
      <c r="BQ390" s="102"/>
      <c r="BR390" s="102"/>
      <c r="BS390" s="102"/>
      <c r="BT390" s="102"/>
      <c r="BU390" s="102"/>
    </row>
    <row r="391" spans="15:73"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02"/>
      <c r="BH391" s="102"/>
      <c r="BI391" s="102"/>
      <c r="BJ391" s="102"/>
      <c r="BK391" s="102"/>
      <c r="BL391" s="102"/>
      <c r="BM391" s="102"/>
      <c r="BN391" s="102"/>
      <c r="BO391" s="102"/>
      <c r="BP391" s="102"/>
      <c r="BQ391" s="102"/>
      <c r="BR391" s="102"/>
      <c r="BS391" s="102"/>
      <c r="BT391" s="102"/>
      <c r="BU391" s="102"/>
    </row>
    <row r="392" spans="15:73"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  <c r="AU392" s="102"/>
      <c r="AV392" s="102"/>
      <c r="AW392" s="102"/>
      <c r="AX392" s="102"/>
      <c r="AY392" s="102"/>
      <c r="AZ392" s="102"/>
      <c r="BA392" s="102"/>
      <c r="BB392" s="102"/>
      <c r="BC392" s="102"/>
      <c r="BD392" s="102"/>
      <c r="BE392" s="102"/>
      <c r="BF392" s="102"/>
      <c r="BG392" s="102"/>
      <c r="BH392" s="102"/>
      <c r="BI392" s="102"/>
      <c r="BJ392" s="102"/>
      <c r="BK392" s="102"/>
      <c r="BL392" s="102"/>
      <c r="BM392" s="102"/>
      <c r="BN392" s="102"/>
      <c r="BO392" s="102"/>
      <c r="BP392" s="102"/>
      <c r="BQ392" s="102"/>
      <c r="BR392" s="102"/>
      <c r="BS392" s="102"/>
      <c r="BT392" s="102"/>
      <c r="BU392" s="102"/>
    </row>
    <row r="393" spans="15:73"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  <c r="BA393" s="102"/>
      <c r="BB393" s="102"/>
      <c r="BC393" s="102"/>
      <c r="BD393" s="102"/>
      <c r="BE393" s="102"/>
      <c r="BF393" s="102"/>
      <c r="BG393" s="102"/>
      <c r="BH393" s="102"/>
      <c r="BI393" s="102"/>
      <c r="BJ393" s="102"/>
      <c r="BK393" s="102"/>
      <c r="BL393" s="102"/>
      <c r="BM393" s="102"/>
      <c r="BN393" s="102"/>
      <c r="BO393" s="102"/>
      <c r="BP393" s="102"/>
      <c r="BQ393" s="102"/>
      <c r="BR393" s="102"/>
      <c r="BS393" s="102"/>
      <c r="BT393" s="102"/>
      <c r="BU393" s="102"/>
    </row>
    <row r="394" spans="15:73"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  <c r="BA394" s="102"/>
      <c r="BB394" s="102"/>
      <c r="BC394" s="102"/>
      <c r="BD394" s="102"/>
      <c r="BE394" s="102"/>
      <c r="BF394" s="102"/>
      <c r="BG394" s="102"/>
      <c r="BH394" s="102"/>
      <c r="BI394" s="102"/>
      <c r="BJ394" s="102"/>
      <c r="BK394" s="102"/>
      <c r="BL394" s="102"/>
      <c r="BM394" s="102"/>
      <c r="BN394" s="102"/>
      <c r="BO394" s="102"/>
      <c r="BP394" s="102"/>
      <c r="BQ394" s="102"/>
      <c r="BR394" s="102"/>
      <c r="BS394" s="102"/>
      <c r="BT394" s="102"/>
      <c r="BU394" s="102"/>
    </row>
    <row r="395" spans="15:73"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  <c r="BA395" s="102"/>
      <c r="BB395" s="102"/>
      <c r="BC395" s="102"/>
      <c r="BD395" s="102"/>
      <c r="BE395" s="102"/>
      <c r="BF395" s="102"/>
      <c r="BG395" s="102"/>
      <c r="BH395" s="102"/>
      <c r="BI395" s="102"/>
      <c r="BJ395" s="102"/>
      <c r="BK395" s="102"/>
      <c r="BL395" s="102"/>
      <c r="BM395" s="102"/>
      <c r="BN395" s="102"/>
      <c r="BO395" s="102"/>
      <c r="BP395" s="102"/>
      <c r="BQ395" s="102"/>
      <c r="BR395" s="102"/>
      <c r="BS395" s="102"/>
      <c r="BT395" s="102"/>
      <c r="BU395" s="102"/>
    </row>
    <row r="396" spans="15:73"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  <c r="AV396" s="102"/>
      <c r="AW396" s="102"/>
      <c r="AX396" s="102"/>
      <c r="AY396" s="102"/>
      <c r="AZ396" s="102"/>
      <c r="BA396" s="102"/>
      <c r="BB396" s="102"/>
      <c r="BC396" s="102"/>
      <c r="BD396" s="102"/>
      <c r="BE396" s="102"/>
      <c r="BF396" s="102"/>
      <c r="BG396" s="102"/>
      <c r="BH396" s="102"/>
      <c r="BI396" s="102"/>
      <c r="BJ396" s="102"/>
      <c r="BK396" s="102"/>
      <c r="BL396" s="102"/>
      <c r="BM396" s="102"/>
      <c r="BN396" s="102"/>
      <c r="BO396" s="102"/>
      <c r="BP396" s="102"/>
      <c r="BQ396" s="102"/>
      <c r="BR396" s="102"/>
      <c r="BS396" s="102"/>
      <c r="BT396" s="102"/>
      <c r="BU396" s="102"/>
    </row>
    <row r="397" spans="15:73"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  <c r="AV397" s="102"/>
      <c r="AW397" s="102"/>
      <c r="AX397" s="102"/>
      <c r="AY397" s="102"/>
      <c r="AZ397" s="102"/>
      <c r="BA397" s="102"/>
      <c r="BB397" s="102"/>
      <c r="BC397" s="102"/>
      <c r="BD397" s="102"/>
      <c r="BE397" s="102"/>
      <c r="BF397" s="102"/>
      <c r="BG397" s="102"/>
      <c r="BH397" s="102"/>
      <c r="BI397" s="102"/>
      <c r="BJ397" s="102"/>
      <c r="BK397" s="102"/>
      <c r="BL397" s="102"/>
      <c r="BM397" s="102"/>
      <c r="BN397" s="102"/>
      <c r="BO397" s="102"/>
      <c r="BP397" s="102"/>
      <c r="BQ397" s="102"/>
      <c r="BR397" s="102"/>
      <c r="BS397" s="102"/>
      <c r="BT397" s="102"/>
      <c r="BU397" s="102"/>
    </row>
    <row r="398" spans="15:73"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  <c r="BA398" s="102"/>
      <c r="BB398" s="102"/>
      <c r="BC398" s="102"/>
      <c r="BD398" s="102"/>
      <c r="BE398" s="102"/>
      <c r="BF398" s="102"/>
      <c r="BG398" s="102"/>
      <c r="BH398" s="102"/>
      <c r="BI398" s="102"/>
      <c r="BJ398" s="102"/>
      <c r="BK398" s="102"/>
      <c r="BL398" s="102"/>
      <c r="BM398" s="102"/>
      <c r="BN398" s="102"/>
      <c r="BO398" s="102"/>
      <c r="BP398" s="102"/>
      <c r="BQ398" s="102"/>
      <c r="BR398" s="102"/>
      <c r="BS398" s="102"/>
      <c r="BT398" s="102"/>
      <c r="BU398" s="102"/>
    </row>
    <row r="399" spans="15:73"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  <c r="BA399" s="102"/>
      <c r="BB399" s="102"/>
      <c r="BC399" s="102"/>
      <c r="BD399" s="102"/>
      <c r="BE399" s="102"/>
      <c r="BF399" s="102"/>
      <c r="BG399" s="102"/>
      <c r="BH399" s="102"/>
      <c r="BI399" s="102"/>
      <c r="BJ399" s="102"/>
      <c r="BK399" s="102"/>
      <c r="BL399" s="102"/>
      <c r="BM399" s="102"/>
      <c r="BN399" s="102"/>
      <c r="BO399" s="102"/>
      <c r="BP399" s="102"/>
      <c r="BQ399" s="102"/>
      <c r="BR399" s="102"/>
      <c r="BS399" s="102"/>
      <c r="BT399" s="102"/>
      <c r="BU399" s="102"/>
    </row>
    <row r="400" spans="15:73"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  <c r="BA400" s="102"/>
      <c r="BB400" s="102"/>
      <c r="BC400" s="102"/>
      <c r="BD400" s="102"/>
      <c r="BE400" s="102"/>
      <c r="BF400" s="102"/>
      <c r="BG400" s="102"/>
      <c r="BH400" s="102"/>
      <c r="BI400" s="102"/>
      <c r="BJ400" s="102"/>
      <c r="BK400" s="102"/>
      <c r="BL400" s="102"/>
      <c r="BM400" s="102"/>
      <c r="BN400" s="102"/>
      <c r="BO400" s="102"/>
      <c r="BP400" s="102"/>
      <c r="BQ400" s="102"/>
      <c r="BR400" s="102"/>
      <c r="BS400" s="102"/>
      <c r="BT400" s="102"/>
      <c r="BU400" s="102"/>
    </row>
    <row r="401" spans="15:73"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  <c r="BA401" s="102"/>
      <c r="BB401" s="102"/>
      <c r="BC401" s="102"/>
      <c r="BD401" s="102"/>
      <c r="BE401" s="102"/>
      <c r="BF401" s="102"/>
      <c r="BG401" s="102"/>
      <c r="BH401" s="102"/>
      <c r="BI401" s="102"/>
      <c r="BJ401" s="102"/>
      <c r="BK401" s="102"/>
      <c r="BL401" s="102"/>
      <c r="BM401" s="102"/>
      <c r="BN401" s="102"/>
      <c r="BO401" s="102"/>
      <c r="BP401" s="102"/>
      <c r="BQ401" s="102"/>
      <c r="BR401" s="102"/>
      <c r="BS401" s="102"/>
      <c r="BT401" s="102"/>
      <c r="BU401" s="102"/>
    </row>
    <row r="402" spans="15:73"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  <c r="BA402" s="102"/>
      <c r="BB402" s="102"/>
      <c r="BC402" s="102"/>
      <c r="BD402" s="102"/>
      <c r="BE402" s="102"/>
      <c r="BF402" s="102"/>
      <c r="BG402" s="102"/>
      <c r="BH402" s="102"/>
      <c r="BI402" s="102"/>
      <c r="BJ402" s="102"/>
      <c r="BK402" s="102"/>
      <c r="BL402" s="102"/>
      <c r="BM402" s="102"/>
      <c r="BN402" s="102"/>
      <c r="BO402" s="102"/>
      <c r="BP402" s="102"/>
      <c r="BQ402" s="102"/>
      <c r="BR402" s="102"/>
      <c r="BS402" s="102"/>
      <c r="BT402" s="102"/>
      <c r="BU402" s="102"/>
    </row>
    <row r="403" spans="15:73"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  <c r="BA403" s="102"/>
      <c r="BB403" s="102"/>
      <c r="BC403" s="102"/>
      <c r="BD403" s="102"/>
      <c r="BE403" s="102"/>
      <c r="BF403" s="102"/>
      <c r="BG403" s="102"/>
      <c r="BH403" s="102"/>
      <c r="BI403" s="102"/>
      <c r="BJ403" s="102"/>
      <c r="BK403" s="102"/>
      <c r="BL403" s="102"/>
      <c r="BM403" s="102"/>
      <c r="BN403" s="102"/>
      <c r="BO403" s="102"/>
      <c r="BP403" s="102"/>
      <c r="BQ403" s="102"/>
      <c r="BR403" s="102"/>
      <c r="BS403" s="102"/>
      <c r="BT403" s="102"/>
      <c r="BU403" s="102"/>
    </row>
    <row r="404" spans="15:73"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  <c r="BA404" s="102"/>
      <c r="BB404" s="102"/>
      <c r="BC404" s="102"/>
      <c r="BD404" s="102"/>
      <c r="BE404" s="102"/>
      <c r="BF404" s="102"/>
      <c r="BG404" s="102"/>
      <c r="BH404" s="102"/>
      <c r="BI404" s="102"/>
      <c r="BJ404" s="102"/>
      <c r="BK404" s="102"/>
      <c r="BL404" s="102"/>
      <c r="BM404" s="102"/>
      <c r="BN404" s="102"/>
      <c r="BO404" s="102"/>
      <c r="BP404" s="102"/>
      <c r="BQ404" s="102"/>
      <c r="BR404" s="102"/>
      <c r="BS404" s="102"/>
      <c r="BT404" s="102"/>
      <c r="BU404" s="102"/>
    </row>
    <row r="405" spans="15:73"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  <c r="BA405" s="102"/>
      <c r="BB405" s="102"/>
      <c r="BC405" s="102"/>
      <c r="BD405" s="102"/>
      <c r="BE405" s="102"/>
      <c r="BF405" s="102"/>
      <c r="BG405" s="102"/>
      <c r="BH405" s="102"/>
      <c r="BI405" s="102"/>
      <c r="BJ405" s="102"/>
      <c r="BK405" s="102"/>
      <c r="BL405" s="102"/>
      <c r="BM405" s="102"/>
      <c r="BN405" s="102"/>
      <c r="BO405" s="102"/>
      <c r="BP405" s="102"/>
      <c r="BQ405" s="102"/>
      <c r="BR405" s="102"/>
      <c r="BS405" s="102"/>
      <c r="BT405" s="102"/>
      <c r="BU405" s="102"/>
    </row>
    <row r="406" spans="15:73"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  <c r="BA406" s="102"/>
      <c r="BB406" s="102"/>
      <c r="BC406" s="102"/>
      <c r="BD406" s="102"/>
      <c r="BE406" s="102"/>
      <c r="BF406" s="102"/>
      <c r="BG406" s="102"/>
      <c r="BH406" s="102"/>
      <c r="BI406" s="102"/>
      <c r="BJ406" s="102"/>
      <c r="BK406" s="102"/>
      <c r="BL406" s="102"/>
      <c r="BM406" s="102"/>
      <c r="BN406" s="102"/>
      <c r="BO406" s="102"/>
      <c r="BP406" s="102"/>
      <c r="BQ406" s="102"/>
      <c r="BR406" s="102"/>
      <c r="BS406" s="102"/>
      <c r="BT406" s="102"/>
      <c r="BU406" s="102"/>
    </row>
    <row r="407" spans="15:73"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  <c r="AU407" s="102"/>
      <c r="AV407" s="102"/>
      <c r="AW407" s="102"/>
      <c r="AX407" s="102"/>
      <c r="AY407" s="102"/>
      <c r="AZ407" s="102"/>
      <c r="BA407" s="102"/>
      <c r="BB407" s="102"/>
      <c r="BC407" s="102"/>
      <c r="BD407" s="102"/>
      <c r="BE407" s="102"/>
      <c r="BF407" s="102"/>
      <c r="BG407" s="102"/>
      <c r="BH407" s="102"/>
      <c r="BI407" s="102"/>
      <c r="BJ407" s="102"/>
      <c r="BK407" s="102"/>
      <c r="BL407" s="102"/>
      <c r="BM407" s="102"/>
      <c r="BN407" s="102"/>
      <c r="BO407" s="102"/>
      <c r="BP407" s="102"/>
      <c r="BQ407" s="102"/>
      <c r="BR407" s="102"/>
      <c r="BS407" s="102"/>
      <c r="BT407" s="102"/>
      <c r="BU407" s="102"/>
    </row>
    <row r="408" spans="15:73"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  <c r="AV408" s="102"/>
      <c r="AW408" s="102"/>
      <c r="AX408" s="102"/>
      <c r="AY408" s="102"/>
      <c r="AZ408" s="102"/>
      <c r="BA408" s="102"/>
      <c r="BB408" s="102"/>
      <c r="BC408" s="102"/>
      <c r="BD408" s="102"/>
      <c r="BE408" s="102"/>
      <c r="BF408" s="102"/>
      <c r="BG408" s="102"/>
      <c r="BH408" s="102"/>
      <c r="BI408" s="102"/>
      <c r="BJ408" s="102"/>
      <c r="BK408" s="102"/>
      <c r="BL408" s="102"/>
      <c r="BM408" s="102"/>
      <c r="BN408" s="102"/>
      <c r="BO408" s="102"/>
      <c r="BP408" s="102"/>
      <c r="BQ408" s="102"/>
      <c r="BR408" s="102"/>
      <c r="BS408" s="102"/>
      <c r="BT408" s="102"/>
      <c r="BU408" s="102"/>
    </row>
    <row r="409" spans="15:73"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  <c r="BA409" s="102"/>
      <c r="BB409" s="102"/>
      <c r="BC409" s="102"/>
      <c r="BD409" s="102"/>
      <c r="BE409" s="102"/>
      <c r="BF409" s="102"/>
      <c r="BG409" s="102"/>
      <c r="BH409" s="102"/>
      <c r="BI409" s="102"/>
      <c r="BJ409" s="102"/>
      <c r="BK409" s="102"/>
      <c r="BL409" s="102"/>
      <c r="BM409" s="102"/>
      <c r="BN409" s="102"/>
      <c r="BO409" s="102"/>
      <c r="BP409" s="102"/>
      <c r="BQ409" s="102"/>
      <c r="BR409" s="102"/>
      <c r="BS409" s="102"/>
      <c r="BT409" s="102"/>
      <c r="BU409" s="102"/>
    </row>
    <row r="410" spans="15:73"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  <c r="BA410" s="102"/>
      <c r="BB410" s="102"/>
      <c r="BC410" s="102"/>
      <c r="BD410" s="102"/>
      <c r="BE410" s="102"/>
      <c r="BF410" s="102"/>
      <c r="BG410" s="102"/>
      <c r="BH410" s="102"/>
      <c r="BI410" s="102"/>
      <c r="BJ410" s="102"/>
      <c r="BK410" s="102"/>
      <c r="BL410" s="102"/>
      <c r="BM410" s="102"/>
      <c r="BN410" s="102"/>
      <c r="BO410" s="102"/>
      <c r="BP410" s="102"/>
      <c r="BQ410" s="102"/>
      <c r="BR410" s="102"/>
      <c r="BS410" s="102"/>
      <c r="BT410" s="102"/>
      <c r="BU410" s="102"/>
    </row>
    <row r="411" spans="15:73"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  <c r="BA411" s="102"/>
      <c r="BB411" s="102"/>
      <c r="BC411" s="102"/>
      <c r="BD411" s="102"/>
      <c r="BE411" s="102"/>
      <c r="BF411" s="102"/>
      <c r="BG411" s="102"/>
      <c r="BH411" s="102"/>
      <c r="BI411" s="102"/>
      <c r="BJ411" s="102"/>
      <c r="BK411" s="102"/>
      <c r="BL411" s="102"/>
      <c r="BM411" s="102"/>
      <c r="BN411" s="102"/>
      <c r="BO411" s="102"/>
      <c r="BP411" s="102"/>
      <c r="BQ411" s="102"/>
      <c r="BR411" s="102"/>
      <c r="BS411" s="102"/>
      <c r="BT411" s="102"/>
      <c r="BU411" s="102"/>
    </row>
    <row r="412" spans="15:73"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  <c r="BA412" s="102"/>
      <c r="BB412" s="102"/>
      <c r="BC412" s="102"/>
      <c r="BD412" s="102"/>
      <c r="BE412" s="102"/>
      <c r="BF412" s="102"/>
      <c r="BG412" s="102"/>
      <c r="BH412" s="102"/>
      <c r="BI412" s="102"/>
      <c r="BJ412" s="102"/>
      <c r="BK412" s="102"/>
      <c r="BL412" s="102"/>
      <c r="BM412" s="102"/>
      <c r="BN412" s="102"/>
      <c r="BO412" s="102"/>
      <c r="BP412" s="102"/>
      <c r="BQ412" s="102"/>
      <c r="BR412" s="102"/>
      <c r="BS412" s="102"/>
      <c r="BT412" s="102"/>
      <c r="BU412" s="102"/>
    </row>
    <row r="413" spans="15:73"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  <c r="BA413" s="102"/>
      <c r="BB413" s="102"/>
      <c r="BC413" s="102"/>
      <c r="BD413" s="102"/>
      <c r="BE413" s="102"/>
      <c r="BF413" s="102"/>
      <c r="BG413" s="102"/>
      <c r="BH413" s="102"/>
      <c r="BI413" s="102"/>
      <c r="BJ413" s="102"/>
      <c r="BK413" s="102"/>
      <c r="BL413" s="102"/>
      <c r="BM413" s="102"/>
      <c r="BN413" s="102"/>
      <c r="BO413" s="102"/>
      <c r="BP413" s="102"/>
      <c r="BQ413" s="102"/>
      <c r="BR413" s="102"/>
      <c r="BS413" s="102"/>
      <c r="BT413" s="102"/>
      <c r="BU413" s="102"/>
    </row>
    <row r="414" spans="15:73"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  <c r="BA414" s="102"/>
      <c r="BB414" s="102"/>
      <c r="BC414" s="102"/>
      <c r="BD414" s="102"/>
      <c r="BE414" s="102"/>
      <c r="BF414" s="102"/>
      <c r="BG414" s="102"/>
      <c r="BH414" s="102"/>
      <c r="BI414" s="102"/>
      <c r="BJ414" s="102"/>
      <c r="BK414" s="102"/>
      <c r="BL414" s="102"/>
      <c r="BM414" s="102"/>
      <c r="BN414" s="102"/>
      <c r="BO414" s="102"/>
      <c r="BP414" s="102"/>
      <c r="BQ414" s="102"/>
      <c r="BR414" s="102"/>
      <c r="BS414" s="102"/>
      <c r="BT414" s="102"/>
      <c r="BU414" s="102"/>
    </row>
    <row r="415" spans="15:73"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  <c r="BA415" s="102"/>
      <c r="BB415" s="102"/>
      <c r="BC415" s="102"/>
      <c r="BD415" s="102"/>
      <c r="BE415" s="102"/>
      <c r="BF415" s="102"/>
      <c r="BG415" s="102"/>
      <c r="BH415" s="102"/>
      <c r="BI415" s="102"/>
      <c r="BJ415" s="102"/>
      <c r="BK415" s="102"/>
      <c r="BL415" s="102"/>
      <c r="BM415" s="102"/>
      <c r="BN415" s="102"/>
      <c r="BO415" s="102"/>
      <c r="BP415" s="102"/>
      <c r="BQ415" s="102"/>
      <c r="BR415" s="102"/>
      <c r="BS415" s="102"/>
      <c r="BT415" s="102"/>
      <c r="BU415" s="102"/>
    </row>
    <row r="416" spans="15:73"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  <c r="BA416" s="102"/>
      <c r="BB416" s="102"/>
      <c r="BC416" s="102"/>
      <c r="BD416" s="102"/>
      <c r="BE416" s="102"/>
      <c r="BF416" s="102"/>
      <c r="BG416" s="102"/>
      <c r="BH416" s="102"/>
      <c r="BI416" s="102"/>
      <c r="BJ416" s="102"/>
      <c r="BK416" s="102"/>
      <c r="BL416" s="102"/>
      <c r="BM416" s="102"/>
      <c r="BN416" s="102"/>
      <c r="BO416" s="102"/>
      <c r="BP416" s="102"/>
      <c r="BQ416" s="102"/>
      <c r="BR416" s="102"/>
      <c r="BS416" s="102"/>
      <c r="BT416" s="102"/>
      <c r="BU416" s="102"/>
    </row>
    <row r="417" spans="15:73"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  <c r="BA417" s="102"/>
      <c r="BB417" s="102"/>
      <c r="BC417" s="102"/>
      <c r="BD417" s="102"/>
      <c r="BE417" s="102"/>
      <c r="BF417" s="102"/>
      <c r="BG417" s="102"/>
      <c r="BH417" s="102"/>
      <c r="BI417" s="102"/>
      <c r="BJ417" s="102"/>
      <c r="BK417" s="102"/>
      <c r="BL417" s="102"/>
      <c r="BM417" s="102"/>
      <c r="BN417" s="102"/>
      <c r="BO417" s="102"/>
      <c r="BP417" s="102"/>
      <c r="BQ417" s="102"/>
      <c r="BR417" s="102"/>
      <c r="BS417" s="102"/>
      <c r="BT417" s="102"/>
      <c r="BU417" s="102"/>
    </row>
    <row r="418" spans="15:73"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  <c r="AU418" s="102"/>
      <c r="AV418" s="102"/>
      <c r="AW418" s="102"/>
      <c r="AX418" s="102"/>
      <c r="AY418" s="102"/>
      <c r="AZ418" s="102"/>
      <c r="BA418" s="102"/>
      <c r="BB418" s="102"/>
      <c r="BC418" s="102"/>
      <c r="BD418" s="102"/>
      <c r="BE418" s="102"/>
      <c r="BF418" s="102"/>
      <c r="BG418" s="102"/>
      <c r="BH418" s="102"/>
      <c r="BI418" s="102"/>
      <c r="BJ418" s="102"/>
      <c r="BK418" s="102"/>
      <c r="BL418" s="102"/>
      <c r="BM418" s="102"/>
      <c r="BN418" s="102"/>
      <c r="BO418" s="102"/>
      <c r="BP418" s="102"/>
      <c r="BQ418" s="102"/>
      <c r="BR418" s="102"/>
      <c r="BS418" s="102"/>
      <c r="BT418" s="102"/>
      <c r="BU418" s="102"/>
    </row>
    <row r="419" spans="15:73"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  <c r="AU419" s="102"/>
      <c r="AV419" s="102"/>
      <c r="AW419" s="102"/>
      <c r="AX419" s="102"/>
      <c r="AY419" s="102"/>
      <c r="AZ419" s="102"/>
      <c r="BA419" s="102"/>
      <c r="BB419" s="102"/>
      <c r="BC419" s="102"/>
      <c r="BD419" s="102"/>
      <c r="BE419" s="102"/>
      <c r="BF419" s="102"/>
      <c r="BG419" s="102"/>
      <c r="BH419" s="102"/>
      <c r="BI419" s="102"/>
      <c r="BJ419" s="102"/>
      <c r="BK419" s="102"/>
      <c r="BL419" s="102"/>
      <c r="BM419" s="102"/>
      <c r="BN419" s="102"/>
      <c r="BO419" s="102"/>
      <c r="BP419" s="102"/>
      <c r="BQ419" s="102"/>
      <c r="BR419" s="102"/>
      <c r="BS419" s="102"/>
      <c r="BT419" s="102"/>
      <c r="BU419" s="102"/>
    </row>
    <row r="420" spans="15:73"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  <c r="BA420" s="102"/>
      <c r="BB420" s="102"/>
      <c r="BC420" s="102"/>
      <c r="BD420" s="102"/>
      <c r="BE420" s="102"/>
      <c r="BF420" s="102"/>
      <c r="BG420" s="102"/>
      <c r="BH420" s="102"/>
      <c r="BI420" s="102"/>
      <c r="BJ420" s="102"/>
      <c r="BK420" s="102"/>
      <c r="BL420" s="102"/>
      <c r="BM420" s="102"/>
      <c r="BN420" s="102"/>
      <c r="BO420" s="102"/>
      <c r="BP420" s="102"/>
      <c r="BQ420" s="102"/>
      <c r="BR420" s="102"/>
      <c r="BS420" s="102"/>
      <c r="BT420" s="102"/>
      <c r="BU420" s="102"/>
    </row>
    <row r="421" spans="15:73"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  <c r="BA421" s="102"/>
      <c r="BB421" s="102"/>
      <c r="BC421" s="102"/>
      <c r="BD421" s="102"/>
      <c r="BE421" s="102"/>
      <c r="BF421" s="102"/>
      <c r="BG421" s="102"/>
      <c r="BH421" s="102"/>
      <c r="BI421" s="102"/>
      <c r="BJ421" s="102"/>
      <c r="BK421" s="102"/>
      <c r="BL421" s="102"/>
      <c r="BM421" s="102"/>
      <c r="BN421" s="102"/>
      <c r="BO421" s="102"/>
      <c r="BP421" s="102"/>
      <c r="BQ421" s="102"/>
      <c r="BR421" s="102"/>
      <c r="BS421" s="102"/>
      <c r="BT421" s="102"/>
      <c r="BU421" s="102"/>
    </row>
    <row r="422" spans="15:73"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  <c r="BA422" s="102"/>
      <c r="BB422" s="102"/>
      <c r="BC422" s="102"/>
      <c r="BD422" s="102"/>
      <c r="BE422" s="102"/>
      <c r="BF422" s="102"/>
      <c r="BG422" s="102"/>
      <c r="BH422" s="102"/>
      <c r="BI422" s="102"/>
      <c r="BJ422" s="102"/>
      <c r="BK422" s="102"/>
      <c r="BL422" s="102"/>
      <c r="BM422" s="102"/>
      <c r="BN422" s="102"/>
      <c r="BO422" s="102"/>
      <c r="BP422" s="102"/>
      <c r="BQ422" s="102"/>
      <c r="BR422" s="102"/>
      <c r="BS422" s="102"/>
      <c r="BT422" s="102"/>
      <c r="BU422" s="102"/>
    </row>
    <row r="423" spans="15:73"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  <c r="BA423" s="102"/>
      <c r="BB423" s="102"/>
      <c r="BC423" s="102"/>
      <c r="BD423" s="102"/>
      <c r="BE423" s="102"/>
      <c r="BF423" s="102"/>
      <c r="BG423" s="102"/>
      <c r="BH423" s="102"/>
      <c r="BI423" s="102"/>
      <c r="BJ423" s="102"/>
      <c r="BK423" s="102"/>
      <c r="BL423" s="102"/>
      <c r="BM423" s="102"/>
      <c r="BN423" s="102"/>
      <c r="BO423" s="102"/>
      <c r="BP423" s="102"/>
      <c r="BQ423" s="102"/>
      <c r="BR423" s="102"/>
      <c r="BS423" s="102"/>
      <c r="BT423" s="102"/>
      <c r="BU423" s="102"/>
    </row>
    <row r="424" spans="15:73"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  <c r="BA424" s="102"/>
      <c r="BB424" s="102"/>
      <c r="BC424" s="102"/>
      <c r="BD424" s="102"/>
      <c r="BE424" s="102"/>
      <c r="BF424" s="102"/>
      <c r="BG424" s="102"/>
      <c r="BH424" s="102"/>
      <c r="BI424" s="102"/>
      <c r="BJ424" s="102"/>
      <c r="BK424" s="102"/>
      <c r="BL424" s="102"/>
      <c r="BM424" s="102"/>
      <c r="BN424" s="102"/>
      <c r="BO424" s="102"/>
      <c r="BP424" s="102"/>
      <c r="BQ424" s="102"/>
      <c r="BR424" s="102"/>
      <c r="BS424" s="102"/>
      <c r="BT424" s="102"/>
      <c r="BU424" s="102"/>
    </row>
    <row r="425" spans="15:73"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  <c r="BA425" s="102"/>
      <c r="BB425" s="102"/>
      <c r="BC425" s="102"/>
      <c r="BD425" s="102"/>
      <c r="BE425" s="102"/>
      <c r="BF425" s="102"/>
      <c r="BG425" s="102"/>
      <c r="BH425" s="102"/>
      <c r="BI425" s="102"/>
      <c r="BJ425" s="102"/>
      <c r="BK425" s="102"/>
      <c r="BL425" s="102"/>
      <c r="BM425" s="102"/>
      <c r="BN425" s="102"/>
      <c r="BO425" s="102"/>
      <c r="BP425" s="102"/>
      <c r="BQ425" s="102"/>
      <c r="BR425" s="102"/>
      <c r="BS425" s="102"/>
      <c r="BT425" s="102"/>
      <c r="BU425" s="102"/>
    </row>
    <row r="426" spans="15:73"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  <c r="BA426" s="102"/>
      <c r="BB426" s="102"/>
      <c r="BC426" s="102"/>
      <c r="BD426" s="102"/>
      <c r="BE426" s="102"/>
      <c r="BF426" s="102"/>
      <c r="BG426" s="102"/>
      <c r="BH426" s="102"/>
      <c r="BI426" s="102"/>
      <c r="BJ426" s="102"/>
      <c r="BK426" s="102"/>
      <c r="BL426" s="102"/>
      <c r="BM426" s="102"/>
      <c r="BN426" s="102"/>
      <c r="BO426" s="102"/>
      <c r="BP426" s="102"/>
      <c r="BQ426" s="102"/>
      <c r="BR426" s="102"/>
      <c r="BS426" s="102"/>
      <c r="BT426" s="102"/>
      <c r="BU426" s="102"/>
    </row>
    <row r="427" spans="15:73"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  <c r="BA427" s="102"/>
      <c r="BB427" s="102"/>
      <c r="BC427" s="102"/>
      <c r="BD427" s="102"/>
      <c r="BE427" s="102"/>
      <c r="BF427" s="102"/>
      <c r="BG427" s="102"/>
      <c r="BH427" s="102"/>
      <c r="BI427" s="102"/>
      <c r="BJ427" s="102"/>
      <c r="BK427" s="102"/>
      <c r="BL427" s="102"/>
      <c r="BM427" s="102"/>
      <c r="BN427" s="102"/>
      <c r="BO427" s="102"/>
      <c r="BP427" s="102"/>
      <c r="BQ427" s="102"/>
      <c r="BR427" s="102"/>
      <c r="BS427" s="102"/>
      <c r="BT427" s="102"/>
      <c r="BU427" s="102"/>
    </row>
    <row r="428" spans="15:73"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  <c r="BA428" s="102"/>
      <c r="BB428" s="102"/>
      <c r="BC428" s="102"/>
      <c r="BD428" s="102"/>
      <c r="BE428" s="102"/>
      <c r="BF428" s="102"/>
      <c r="BG428" s="102"/>
      <c r="BH428" s="102"/>
      <c r="BI428" s="102"/>
      <c r="BJ428" s="102"/>
      <c r="BK428" s="102"/>
      <c r="BL428" s="102"/>
      <c r="BM428" s="102"/>
      <c r="BN428" s="102"/>
      <c r="BO428" s="102"/>
      <c r="BP428" s="102"/>
      <c r="BQ428" s="102"/>
      <c r="BR428" s="102"/>
      <c r="BS428" s="102"/>
      <c r="BT428" s="102"/>
      <c r="BU428" s="102"/>
    </row>
    <row r="429" spans="15:73"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2"/>
      <c r="AV429" s="102"/>
      <c r="AW429" s="102"/>
      <c r="AX429" s="102"/>
      <c r="AY429" s="102"/>
      <c r="AZ429" s="102"/>
      <c r="BA429" s="102"/>
      <c r="BB429" s="102"/>
      <c r="BC429" s="102"/>
      <c r="BD429" s="102"/>
      <c r="BE429" s="102"/>
      <c r="BF429" s="102"/>
      <c r="BG429" s="102"/>
      <c r="BH429" s="102"/>
      <c r="BI429" s="102"/>
      <c r="BJ429" s="102"/>
      <c r="BK429" s="102"/>
      <c r="BL429" s="102"/>
      <c r="BM429" s="102"/>
      <c r="BN429" s="102"/>
      <c r="BO429" s="102"/>
      <c r="BP429" s="102"/>
      <c r="BQ429" s="102"/>
      <c r="BR429" s="102"/>
      <c r="BS429" s="102"/>
      <c r="BT429" s="102"/>
      <c r="BU429" s="102"/>
    </row>
    <row r="430" spans="15:73"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  <c r="AU430" s="102"/>
      <c r="AV430" s="102"/>
      <c r="AW430" s="102"/>
      <c r="AX430" s="102"/>
      <c r="AY430" s="102"/>
      <c r="AZ430" s="102"/>
      <c r="BA430" s="102"/>
      <c r="BB430" s="102"/>
      <c r="BC430" s="102"/>
      <c r="BD430" s="102"/>
      <c r="BE430" s="102"/>
      <c r="BF430" s="102"/>
      <c r="BG430" s="102"/>
      <c r="BH430" s="102"/>
      <c r="BI430" s="102"/>
      <c r="BJ430" s="102"/>
      <c r="BK430" s="102"/>
      <c r="BL430" s="102"/>
      <c r="BM430" s="102"/>
      <c r="BN430" s="102"/>
      <c r="BO430" s="102"/>
      <c r="BP430" s="102"/>
      <c r="BQ430" s="102"/>
      <c r="BR430" s="102"/>
      <c r="BS430" s="102"/>
      <c r="BT430" s="102"/>
      <c r="BU430" s="102"/>
    </row>
    <row r="431" spans="15:73"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  <c r="BA431" s="102"/>
      <c r="BB431" s="102"/>
      <c r="BC431" s="102"/>
      <c r="BD431" s="102"/>
      <c r="BE431" s="102"/>
      <c r="BF431" s="102"/>
      <c r="BG431" s="102"/>
      <c r="BH431" s="102"/>
      <c r="BI431" s="102"/>
      <c r="BJ431" s="102"/>
      <c r="BK431" s="102"/>
      <c r="BL431" s="102"/>
      <c r="BM431" s="102"/>
      <c r="BN431" s="102"/>
      <c r="BO431" s="102"/>
      <c r="BP431" s="102"/>
      <c r="BQ431" s="102"/>
      <c r="BR431" s="102"/>
      <c r="BS431" s="102"/>
      <c r="BT431" s="102"/>
      <c r="BU431" s="102"/>
    </row>
    <row r="432" spans="15:73"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  <c r="BA432" s="102"/>
      <c r="BB432" s="102"/>
      <c r="BC432" s="102"/>
      <c r="BD432" s="102"/>
      <c r="BE432" s="102"/>
      <c r="BF432" s="102"/>
      <c r="BG432" s="102"/>
      <c r="BH432" s="102"/>
      <c r="BI432" s="102"/>
      <c r="BJ432" s="102"/>
      <c r="BK432" s="102"/>
      <c r="BL432" s="102"/>
      <c r="BM432" s="102"/>
      <c r="BN432" s="102"/>
      <c r="BO432" s="102"/>
      <c r="BP432" s="102"/>
      <c r="BQ432" s="102"/>
      <c r="BR432" s="102"/>
      <c r="BS432" s="102"/>
      <c r="BT432" s="102"/>
      <c r="BU432" s="102"/>
    </row>
    <row r="433" spans="15:73"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  <c r="BA433" s="102"/>
      <c r="BB433" s="102"/>
      <c r="BC433" s="102"/>
      <c r="BD433" s="102"/>
      <c r="BE433" s="102"/>
      <c r="BF433" s="102"/>
      <c r="BG433" s="102"/>
      <c r="BH433" s="102"/>
      <c r="BI433" s="102"/>
      <c r="BJ433" s="102"/>
      <c r="BK433" s="102"/>
      <c r="BL433" s="102"/>
      <c r="BM433" s="102"/>
      <c r="BN433" s="102"/>
      <c r="BO433" s="102"/>
      <c r="BP433" s="102"/>
      <c r="BQ433" s="102"/>
      <c r="BR433" s="102"/>
      <c r="BS433" s="102"/>
      <c r="BT433" s="102"/>
      <c r="BU433" s="102"/>
    </row>
    <row r="434" spans="15:73"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  <c r="BA434" s="102"/>
      <c r="BB434" s="102"/>
      <c r="BC434" s="102"/>
      <c r="BD434" s="102"/>
      <c r="BE434" s="102"/>
      <c r="BF434" s="102"/>
      <c r="BG434" s="102"/>
      <c r="BH434" s="102"/>
      <c r="BI434" s="102"/>
      <c r="BJ434" s="102"/>
      <c r="BK434" s="102"/>
      <c r="BL434" s="102"/>
      <c r="BM434" s="102"/>
      <c r="BN434" s="102"/>
      <c r="BO434" s="102"/>
      <c r="BP434" s="102"/>
      <c r="BQ434" s="102"/>
      <c r="BR434" s="102"/>
      <c r="BS434" s="102"/>
      <c r="BT434" s="102"/>
      <c r="BU434" s="102"/>
    </row>
    <row r="435" spans="15:73"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  <c r="BA435" s="102"/>
      <c r="BB435" s="102"/>
      <c r="BC435" s="102"/>
      <c r="BD435" s="102"/>
      <c r="BE435" s="102"/>
      <c r="BF435" s="102"/>
      <c r="BG435" s="102"/>
      <c r="BH435" s="102"/>
      <c r="BI435" s="102"/>
      <c r="BJ435" s="102"/>
      <c r="BK435" s="102"/>
      <c r="BL435" s="102"/>
      <c r="BM435" s="102"/>
      <c r="BN435" s="102"/>
      <c r="BO435" s="102"/>
      <c r="BP435" s="102"/>
      <c r="BQ435" s="102"/>
      <c r="BR435" s="102"/>
      <c r="BS435" s="102"/>
      <c r="BT435" s="102"/>
      <c r="BU435" s="102"/>
    </row>
    <row r="436" spans="15:73"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  <c r="BA436" s="102"/>
      <c r="BB436" s="102"/>
      <c r="BC436" s="102"/>
      <c r="BD436" s="102"/>
      <c r="BE436" s="102"/>
      <c r="BF436" s="102"/>
      <c r="BG436" s="102"/>
      <c r="BH436" s="102"/>
      <c r="BI436" s="102"/>
      <c r="BJ436" s="102"/>
      <c r="BK436" s="102"/>
      <c r="BL436" s="102"/>
      <c r="BM436" s="102"/>
      <c r="BN436" s="102"/>
      <c r="BO436" s="102"/>
      <c r="BP436" s="102"/>
      <c r="BQ436" s="102"/>
      <c r="BR436" s="102"/>
      <c r="BS436" s="102"/>
      <c r="BT436" s="102"/>
      <c r="BU436" s="102"/>
    </row>
    <row r="437" spans="15:73"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  <c r="BA437" s="102"/>
      <c r="BB437" s="102"/>
      <c r="BC437" s="102"/>
      <c r="BD437" s="102"/>
      <c r="BE437" s="102"/>
      <c r="BF437" s="102"/>
      <c r="BG437" s="102"/>
      <c r="BH437" s="102"/>
      <c r="BI437" s="102"/>
      <c r="BJ437" s="102"/>
      <c r="BK437" s="102"/>
      <c r="BL437" s="102"/>
      <c r="BM437" s="102"/>
      <c r="BN437" s="102"/>
      <c r="BO437" s="102"/>
      <c r="BP437" s="102"/>
      <c r="BQ437" s="102"/>
      <c r="BR437" s="102"/>
      <c r="BS437" s="102"/>
      <c r="BT437" s="102"/>
      <c r="BU437" s="102"/>
    </row>
    <row r="438" spans="15:73"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  <c r="BA438" s="102"/>
      <c r="BB438" s="102"/>
      <c r="BC438" s="102"/>
      <c r="BD438" s="102"/>
      <c r="BE438" s="102"/>
      <c r="BF438" s="102"/>
      <c r="BG438" s="102"/>
      <c r="BH438" s="102"/>
      <c r="BI438" s="102"/>
      <c r="BJ438" s="102"/>
      <c r="BK438" s="102"/>
      <c r="BL438" s="102"/>
      <c r="BM438" s="102"/>
      <c r="BN438" s="102"/>
      <c r="BO438" s="102"/>
      <c r="BP438" s="102"/>
      <c r="BQ438" s="102"/>
      <c r="BR438" s="102"/>
      <c r="BS438" s="102"/>
      <c r="BT438" s="102"/>
      <c r="BU438" s="102"/>
    </row>
    <row r="439" spans="15:73"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  <c r="BA439" s="102"/>
      <c r="BB439" s="102"/>
      <c r="BC439" s="102"/>
      <c r="BD439" s="102"/>
      <c r="BE439" s="102"/>
      <c r="BF439" s="102"/>
      <c r="BG439" s="102"/>
      <c r="BH439" s="102"/>
      <c r="BI439" s="102"/>
      <c r="BJ439" s="102"/>
      <c r="BK439" s="102"/>
      <c r="BL439" s="102"/>
      <c r="BM439" s="102"/>
      <c r="BN439" s="102"/>
      <c r="BO439" s="102"/>
      <c r="BP439" s="102"/>
      <c r="BQ439" s="102"/>
      <c r="BR439" s="102"/>
      <c r="BS439" s="102"/>
      <c r="BT439" s="102"/>
      <c r="BU439" s="102"/>
    </row>
    <row r="440" spans="15:73"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  <c r="AU440" s="102"/>
      <c r="AV440" s="102"/>
      <c r="AW440" s="102"/>
      <c r="AX440" s="102"/>
      <c r="AY440" s="102"/>
      <c r="AZ440" s="102"/>
      <c r="BA440" s="102"/>
      <c r="BB440" s="102"/>
      <c r="BC440" s="102"/>
      <c r="BD440" s="102"/>
      <c r="BE440" s="102"/>
      <c r="BF440" s="102"/>
      <c r="BG440" s="102"/>
      <c r="BH440" s="102"/>
      <c r="BI440" s="102"/>
      <c r="BJ440" s="102"/>
      <c r="BK440" s="102"/>
      <c r="BL440" s="102"/>
      <c r="BM440" s="102"/>
      <c r="BN440" s="102"/>
      <c r="BO440" s="102"/>
      <c r="BP440" s="102"/>
      <c r="BQ440" s="102"/>
      <c r="BR440" s="102"/>
      <c r="BS440" s="102"/>
      <c r="BT440" s="102"/>
      <c r="BU440" s="102"/>
    </row>
    <row r="441" spans="15:73"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  <c r="AU441" s="102"/>
      <c r="AV441" s="102"/>
      <c r="AW441" s="102"/>
      <c r="AX441" s="102"/>
      <c r="AY441" s="102"/>
      <c r="AZ441" s="102"/>
      <c r="BA441" s="102"/>
      <c r="BB441" s="102"/>
      <c r="BC441" s="102"/>
      <c r="BD441" s="102"/>
      <c r="BE441" s="102"/>
      <c r="BF441" s="102"/>
      <c r="BG441" s="102"/>
      <c r="BH441" s="102"/>
      <c r="BI441" s="102"/>
      <c r="BJ441" s="102"/>
      <c r="BK441" s="102"/>
      <c r="BL441" s="102"/>
      <c r="BM441" s="102"/>
      <c r="BN441" s="102"/>
      <c r="BO441" s="102"/>
      <c r="BP441" s="102"/>
      <c r="BQ441" s="102"/>
      <c r="BR441" s="102"/>
      <c r="BS441" s="102"/>
      <c r="BT441" s="102"/>
      <c r="BU441" s="102"/>
    </row>
    <row r="442" spans="15:73"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  <c r="BA442" s="102"/>
      <c r="BB442" s="102"/>
      <c r="BC442" s="102"/>
      <c r="BD442" s="102"/>
      <c r="BE442" s="102"/>
      <c r="BF442" s="102"/>
      <c r="BG442" s="102"/>
      <c r="BH442" s="102"/>
      <c r="BI442" s="102"/>
      <c r="BJ442" s="102"/>
      <c r="BK442" s="102"/>
      <c r="BL442" s="102"/>
      <c r="BM442" s="102"/>
      <c r="BN442" s="102"/>
      <c r="BO442" s="102"/>
      <c r="BP442" s="102"/>
      <c r="BQ442" s="102"/>
      <c r="BR442" s="102"/>
      <c r="BS442" s="102"/>
      <c r="BT442" s="102"/>
      <c r="BU442" s="102"/>
    </row>
    <row r="443" spans="15:73"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  <c r="BA443" s="102"/>
      <c r="BB443" s="102"/>
      <c r="BC443" s="102"/>
      <c r="BD443" s="102"/>
      <c r="BE443" s="102"/>
      <c r="BF443" s="102"/>
      <c r="BG443" s="102"/>
      <c r="BH443" s="102"/>
      <c r="BI443" s="102"/>
      <c r="BJ443" s="102"/>
      <c r="BK443" s="102"/>
      <c r="BL443" s="102"/>
      <c r="BM443" s="102"/>
      <c r="BN443" s="102"/>
      <c r="BO443" s="102"/>
      <c r="BP443" s="102"/>
      <c r="BQ443" s="102"/>
      <c r="BR443" s="102"/>
      <c r="BS443" s="102"/>
      <c r="BT443" s="102"/>
      <c r="BU443" s="102"/>
    </row>
    <row r="444" spans="15:73"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  <c r="BA444" s="102"/>
      <c r="BB444" s="102"/>
      <c r="BC444" s="102"/>
      <c r="BD444" s="102"/>
      <c r="BE444" s="102"/>
      <c r="BF444" s="102"/>
      <c r="BG444" s="102"/>
      <c r="BH444" s="102"/>
      <c r="BI444" s="102"/>
      <c r="BJ444" s="102"/>
      <c r="BK444" s="102"/>
      <c r="BL444" s="102"/>
      <c r="BM444" s="102"/>
      <c r="BN444" s="102"/>
      <c r="BO444" s="102"/>
      <c r="BP444" s="102"/>
      <c r="BQ444" s="102"/>
      <c r="BR444" s="102"/>
      <c r="BS444" s="102"/>
      <c r="BT444" s="102"/>
      <c r="BU444" s="102"/>
    </row>
    <row r="445" spans="15:73"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  <c r="BA445" s="102"/>
      <c r="BB445" s="102"/>
      <c r="BC445" s="102"/>
      <c r="BD445" s="102"/>
      <c r="BE445" s="102"/>
      <c r="BF445" s="102"/>
      <c r="BG445" s="102"/>
      <c r="BH445" s="102"/>
      <c r="BI445" s="102"/>
      <c r="BJ445" s="102"/>
      <c r="BK445" s="102"/>
      <c r="BL445" s="102"/>
      <c r="BM445" s="102"/>
      <c r="BN445" s="102"/>
      <c r="BO445" s="102"/>
      <c r="BP445" s="102"/>
      <c r="BQ445" s="102"/>
      <c r="BR445" s="102"/>
      <c r="BS445" s="102"/>
      <c r="BT445" s="102"/>
      <c r="BU445" s="102"/>
    </row>
    <row r="446" spans="15:73"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  <c r="BA446" s="102"/>
      <c r="BB446" s="102"/>
      <c r="BC446" s="102"/>
      <c r="BD446" s="102"/>
      <c r="BE446" s="102"/>
      <c r="BF446" s="102"/>
      <c r="BG446" s="102"/>
      <c r="BH446" s="102"/>
      <c r="BI446" s="102"/>
      <c r="BJ446" s="102"/>
      <c r="BK446" s="102"/>
      <c r="BL446" s="102"/>
      <c r="BM446" s="102"/>
      <c r="BN446" s="102"/>
      <c r="BO446" s="102"/>
      <c r="BP446" s="102"/>
      <c r="BQ446" s="102"/>
      <c r="BR446" s="102"/>
      <c r="BS446" s="102"/>
      <c r="BT446" s="102"/>
      <c r="BU446" s="102"/>
    </row>
    <row r="447" spans="15:73"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  <c r="BA447" s="102"/>
      <c r="BB447" s="102"/>
      <c r="BC447" s="102"/>
      <c r="BD447" s="102"/>
      <c r="BE447" s="102"/>
      <c r="BF447" s="102"/>
      <c r="BG447" s="102"/>
      <c r="BH447" s="102"/>
      <c r="BI447" s="102"/>
      <c r="BJ447" s="102"/>
      <c r="BK447" s="102"/>
      <c r="BL447" s="102"/>
      <c r="BM447" s="102"/>
      <c r="BN447" s="102"/>
      <c r="BO447" s="102"/>
      <c r="BP447" s="102"/>
      <c r="BQ447" s="102"/>
      <c r="BR447" s="102"/>
      <c r="BS447" s="102"/>
      <c r="BT447" s="102"/>
      <c r="BU447" s="102"/>
    </row>
    <row r="448" spans="15:73"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  <c r="BA448" s="102"/>
      <c r="BB448" s="102"/>
      <c r="BC448" s="102"/>
      <c r="BD448" s="102"/>
      <c r="BE448" s="102"/>
      <c r="BF448" s="102"/>
      <c r="BG448" s="102"/>
      <c r="BH448" s="102"/>
      <c r="BI448" s="102"/>
      <c r="BJ448" s="102"/>
      <c r="BK448" s="102"/>
      <c r="BL448" s="102"/>
      <c r="BM448" s="102"/>
      <c r="BN448" s="102"/>
      <c r="BO448" s="102"/>
      <c r="BP448" s="102"/>
      <c r="BQ448" s="102"/>
      <c r="BR448" s="102"/>
      <c r="BS448" s="102"/>
      <c r="BT448" s="102"/>
      <c r="BU448" s="102"/>
    </row>
    <row r="449" spans="15:73"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  <c r="AU449" s="102"/>
      <c r="AV449" s="102"/>
      <c r="AW449" s="102"/>
      <c r="AX449" s="102"/>
      <c r="AY449" s="102"/>
      <c r="AZ449" s="102"/>
      <c r="BA449" s="102"/>
      <c r="BB449" s="102"/>
      <c r="BC449" s="102"/>
      <c r="BD449" s="102"/>
      <c r="BE449" s="102"/>
      <c r="BF449" s="102"/>
      <c r="BG449" s="102"/>
      <c r="BH449" s="102"/>
      <c r="BI449" s="102"/>
      <c r="BJ449" s="102"/>
      <c r="BK449" s="102"/>
      <c r="BL449" s="102"/>
      <c r="BM449" s="102"/>
      <c r="BN449" s="102"/>
      <c r="BO449" s="102"/>
      <c r="BP449" s="102"/>
      <c r="BQ449" s="102"/>
      <c r="BR449" s="102"/>
      <c r="BS449" s="102"/>
      <c r="BT449" s="102"/>
      <c r="BU449" s="102"/>
    </row>
    <row r="450" spans="15:73"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  <c r="BA450" s="102"/>
      <c r="BB450" s="102"/>
      <c r="BC450" s="102"/>
      <c r="BD450" s="102"/>
      <c r="BE450" s="102"/>
      <c r="BF450" s="102"/>
      <c r="BG450" s="102"/>
      <c r="BH450" s="102"/>
      <c r="BI450" s="102"/>
      <c r="BJ450" s="102"/>
      <c r="BK450" s="102"/>
      <c r="BL450" s="102"/>
      <c r="BM450" s="102"/>
      <c r="BN450" s="102"/>
      <c r="BO450" s="102"/>
      <c r="BP450" s="102"/>
      <c r="BQ450" s="102"/>
      <c r="BR450" s="102"/>
      <c r="BS450" s="102"/>
      <c r="BT450" s="102"/>
      <c r="BU450" s="102"/>
    </row>
    <row r="451" spans="15:73"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  <c r="AU451" s="102"/>
      <c r="AV451" s="102"/>
      <c r="AW451" s="102"/>
      <c r="AX451" s="102"/>
      <c r="AY451" s="102"/>
      <c r="AZ451" s="102"/>
      <c r="BA451" s="102"/>
      <c r="BB451" s="102"/>
      <c r="BC451" s="102"/>
      <c r="BD451" s="102"/>
      <c r="BE451" s="102"/>
      <c r="BF451" s="102"/>
      <c r="BG451" s="102"/>
      <c r="BH451" s="102"/>
      <c r="BI451" s="102"/>
      <c r="BJ451" s="102"/>
      <c r="BK451" s="102"/>
      <c r="BL451" s="102"/>
      <c r="BM451" s="102"/>
      <c r="BN451" s="102"/>
      <c r="BO451" s="102"/>
      <c r="BP451" s="102"/>
      <c r="BQ451" s="102"/>
      <c r="BR451" s="102"/>
      <c r="BS451" s="102"/>
      <c r="BT451" s="102"/>
      <c r="BU451" s="102"/>
    </row>
    <row r="452" spans="15:73"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  <c r="AV452" s="102"/>
      <c r="AW452" s="102"/>
      <c r="AX452" s="102"/>
      <c r="AY452" s="102"/>
      <c r="AZ452" s="102"/>
      <c r="BA452" s="102"/>
      <c r="BB452" s="102"/>
      <c r="BC452" s="102"/>
      <c r="BD452" s="102"/>
      <c r="BE452" s="102"/>
      <c r="BF452" s="102"/>
      <c r="BG452" s="102"/>
      <c r="BH452" s="102"/>
      <c r="BI452" s="102"/>
      <c r="BJ452" s="102"/>
      <c r="BK452" s="102"/>
      <c r="BL452" s="102"/>
      <c r="BM452" s="102"/>
      <c r="BN452" s="102"/>
      <c r="BO452" s="102"/>
      <c r="BP452" s="102"/>
      <c r="BQ452" s="102"/>
      <c r="BR452" s="102"/>
      <c r="BS452" s="102"/>
      <c r="BT452" s="102"/>
      <c r="BU452" s="102"/>
    </row>
    <row r="453" spans="15:73"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  <c r="BA453" s="102"/>
      <c r="BB453" s="102"/>
      <c r="BC453" s="102"/>
      <c r="BD453" s="102"/>
      <c r="BE453" s="102"/>
      <c r="BF453" s="102"/>
      <c r="BG453" s="102"/>
      <c r="BH453" s="102"/>
      <c r="BI453" s="102"/>
      <c r="BJ453" s="102"/>
      <c r="BK453" s="102"/>
      <c r="BL453" s="102"/>
      <c r="BM453" s="102"/>
      <c r="BN453" s="102"/>
      <c r="BO453" s="102"/>
      <c r="BP453" s="102"/>
      <c r="BQ453" s="102"/>
      <c r="BR453" s="102"/>
      <c r="BS453" s="102"/>
      <c r="BT453" s="102"/>
      <c r="BU453" s="102"/>
    </row>
    <row r="454" spans="15:73"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  <c r="BA454" s="102"/>
      <c r="BB454" s="102"/>
      <c r="BC454" s="102"/>
      <c r="BD454" s="102"/>
      <c r="BE454" s="102"/>
      <c r="BF454" s="102"/>
      <c r="BG454" s="102"/>
      <c r="BH454" s="102"/>
      <c r="BI454" s="102"/>
      <c r="BJ454" s="102"/>
      <c r="BK454" s="102"/>
      <c r="BL454" s="102"/>
      <c r="BM454" s="102"/>
      <c r="BN454" s="102"/>
      <c r="BO454" s="102"/>
      <c r="BP454" s="102"/>
      <c r="BQ454" s="102"/>
      <c r="BR454" s="102"/>
      <c r="BS454" s="102"/>
      <c r="BT454" s="102"/>
      <c r="BU454" s="102"/>
    </row>
    <row r="455" spans="15:73"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  <c r="BA455" s="102"/>
      <c r="BB455" s="102"/>
      <c r="BC455" s="102"/>
      <c r="BD455" s="102"/>
      <c r="BE455" s="102"/>
      <c r="BF455" s="102"/>
      <c r="BG455" s="102"/>
      <c r="BH455" s="102"/>
      <c r="BI455" s="102"/>
      <c r="BJ455" s="102"/>
      <c r="BK455" s="102"/>
      <c r="BL455" s="102"/>
      <c r="BM455" s="102"/>
      <c r="BN455" s="102"/>
      <c r="BO455" s="102"/>
      <c r="BP455" s="102"/>
      <c r="BQ455" s="102"/>
      <c r="BR455" s="102"/>
      <c r="BS455" s="102"/>
      <c r="BT455" s="102"/>
      <c r="BU455" s="102"/>
    </row>
    <row r="456" spans="15:73"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  <c r="BA456" s="102"/>
      <c r="BB456" s="102"/>
      <c r="BC456" s="102"/>
      <c r="BD456" s="102"/>
      <c r="BE456" s="102"/>
      <c r="BF456" s="102"/>
      <c r="BG456" s="102"/>
      <c r="BH456" s="102"/>
      <c r="BI456" s="102"/>
      <c r="BJ456" s="102"/>
      <c r="BK456" s="102"/>
      <c r="BL456" s="102"/>
      <c r="BM456" s="102"/>
      <c r="BN456" s="102"/>
      <c r="BO456" s="102"/>
      <c r="BP456" s="102"/>
      <c r="BQ456" s="102"/>
      <c r="BR456" s="102"/>
      <c r="BS456" s="102"/>
      <c r="BT456" s="102"/>
      <c r="BU456" s="102"/>
    </row>
    <row r="457" spans="15:73"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  <c r="BA457" s="102"/>
      <c r="BB457" s="102"/>
      <c r="BC457" s="102"/>
      <c r="BD457" s="102"/>
      <c r="BE457" s="102"/>
      <c r="BF457" s="102"/>
      <c r="BG457" s="102"/>
      <c r="BH457" s="102"/>
      <c r="BI457" s="102"/>
      <c r="BJ457" s="102"/>
      <c r="BK457" s="102"/>
      <c r="BL457" s="102"/>
      <c r="BM457" s="102"/>
      <c r="BN457" s="102"/>
      <c r="BO457" s="102"/>
      <c r="BP457" s="102"/>
      <c r="BQ457" s="102"/>
      <c r="BR457" s="102"/>
      <c r="BS457" s="102"/>
      <c r="BT457" s="102"/>
      <c r="BU457" s="102"/>
    </row>
    <row r="458" spans="15:73"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  <c r="BA458" s="102"/>
      <c r="BB458" s="102"/>
      <c r="BC458" s="102"/>
      <c r="BD458" s="102"/>
      <c r="BE458" s="102"/>
      <c r="BF458" s="102"/>
      <c r="BG458" s="102"/>
      <c r="BH458" s="102"/>
      <c r="BI458" s="102"/>
      <c r="BJ458" s="102"/>
      <c r="BK458" s="102"/>
      <c r="BL458" s="102"/>
      <c r="BM458" s="102"/>
      <c r="BN458" s="102"/>
      <c r="BO458" s="102"/>
      <c r="BP458" s="102"/>
      <c r="BQ458" s="102"/>
      <c r="BR458" s="102"/>
      <c r="BS458" s="102"/>
      <c r="BT458" s="102"/>
      <c r="BU458" s="102"/>
    </row>
    <row r="459" spans="15:73"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  <c r="BA459" s="102"/>
      <c r="BB459" s="102"/>
      <c r="BC459" s="102"/>
      <c r="BD459" s="102"/>
      <c r="BE459" s="102"/>
      <c r="BF459" s="102"/>
      <c r="BG459" s="102"/>
      <c r="BH459" s="102"/>
      <c r="BI459" s="102"/>
      <c r="BJ459" s="102"/>
      <c r="BK459" s="102"/>
      <c r="BL459" s="102"/>
      <c r="BM459" s="102"/>
      <c r="BN459" s="102"/>
      <c r="BO459" s="102"/>
      <c r="BP459" s="102"/>
      <c r="BQ459" s="102"/>
      <c r="BR459" s="102"/>
      <c r="BS459" s="102"/>
      <c r="BT459" s="102"/>
      <c r="BU459" s="102"/>
    </row>
    <row r="460" spans="15:73"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  <c r="BA460" s="102"/>
      <c r="BB460" s="102"/>
      <c r="BC460" s="102"/>
      <c r="BD460" s="102"/>
      <c r="BE460" s="102"/>
      <c r="BF460" s="102"/>
      <c r="BG460" s="102"/>
      <c r="BH460" s="102"/>
      <c r="BI460" s="102"/>
      <c r="BJ460" s="102"/>
      <c r="BK460" s="102"/>
      <c r="BL460" s="102"/>
      <c r="BM460" s="102"/>
      <c r="BN460" s="102"/>
      <c r="BO460" s="102"/>
      <c r="BP460" s="102"/>
      <c r="BQ460" s="102"/>
      <c r="BR460" s="102"/>
      <c r="BS460" s="102"/>
      <c r="BT460" s="102"/>
      <c r="BU460" s="102"/>
    </row>
    <row r="461" spans="15:73"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  <c r="AU461" s="102"/>
      <c r="AV461" s="102"/>
      <c r="AW461" s="102"/>
      <c r="AX461" s="102"/>
      <c r="AY461" s="102"/>
      <c r="AZ461" s="102"/>
      <c r="BA461" s="102"/>
      <c r="BB461" s="102"/>
      <c r="BC461" s="102"/>
      <c r="BD461" s="102"/>
      <c r="BE461" s="102"/>
      <c r="BF461" s="102"/>
      <c r="BG461" s="102"/>
      <c r="BH461" s="102"/>
      <c r="BI461" s="102"/>
      <c r="BJ461" s="102"/>
      <c r="BK461" s="102"/>
      <c r="BL461" s="102"/>
      <c r="BM461" s="102"/>
      <c r="BN461" s="102"/>
      <c r="BO461" s="102"/>
      <c r="BP461" s="102"/>
      <c r="BQ461" s="102"/>
      <c r="BR461" s="102"/>
      <c r="BS461" s="102"/>
      <c r="BT461" s="102"/>
      <c r="BU461" s="102"/>
    </row>
    <row r="462" spans="15:73"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  <c r="AU462" s="102"/>
      <c r="AV462" s="102"/>
      <c r="AW462" s="102"/>
      <c r="AX462" s="102"/>
      <c r="AY462" s="102"/>
      <c r="AZ462" s="102"/>
      <c r="BA462" s="102"/>
      <c r="BB462" s="102"/>
      <c r="BC462" s="102"/>
      <c r="BD462" s="102"/>
      <c r="BE462" s="102"/>
      <c r="BF462" s="102"/>
      <c r="BG462" s="102"/>
      <c r="BH462" s="102"/>
      <c r="BI462" s="102"/>
      <c r="BJ462" s="102"/>
      <c r="BK462" s="102"/>
      <c r="BL462" s="102"/>
      <c r="BM462" s="102"/>
      <c r="BN462" s="102"/>
      <c r="BO462" s="102"/>
      <c r="BP462" s="102"/>
      <c r="BQ462" s="102"/>
      <c r="BR462" s="102"/>
      <c r="BS462" s="102"/>
      <c r="BT462" s="102"/>
      <c r="BU462" s="102"/>
    </row>
    <row r="463" spans="15:73"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102"/>
      <c r="AJ463" s="102"/>
      <c r="AK463" s="102"/>
      <c r="AL463" s="102"/>
      <c r="AM463" s="102"/>
      <c r="AN463" s="102"/>
      <c r="AO463" s="102"/>
      <c r="AP463" s="102"/>
      <c r="AQ463" s="102"/>
      <c r="AR463" s="102"/>
      <c r="AS463" s="102"/>
      <c r="AT463" s="102"/>
      <c r="AU463" s="102"/>
      <c r="AV463" s="102"/>
      <c r="AW463" s="102"/>
      <c r="AX463" s="102"/>
      <c r="AY463" s="102"/>
      <c r="AZ463" s="102"/>
      <c r="BA463" s="102"/>
      <c r="BB463" s="102"/>
      <c r="BC463" s="102"/>
      <c r="BD463" s="102"/>
      <c r="BE463" s="102"/>
      <c r="BF463" s="102"/>
      <c r="BG463" s="102"/>
      <c r="BH463" s="102"/>
      <c r="BI463" s="102"/>
      <c r="BJ463" s="102"/>
      <c r="BK463" s="102"/>
      <c r="BL463" s="102"/>
      <c r="BM463" s="102"/>
      <c r="BN463" s="102"/>
      <c r="BO463" s="102"/>
      <c r="BP463" s="102"/>
      <c r="BQ463" s="102"/>
      <c r="BR463" s="102"/>
      <c r="BS463" s="102"/>
      <c r="BT463" s="102"/>
      <c r="BU463" s="102"/>
    </row>
    <row r="464" spans="15:73"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102"/>
      <c r="AJ464" s="102"/>
      <c r="AK464" s="102"/>
      <c r="AL464" s="102"/>
      <c r="AM464" s="102"/>
      <c r="AN464" s="102"/>
      <c r="AO464" s="102"/>
      <c r="AP464" s="102"/>
      <c r="AQ464" s="102"/>
      <c r="AR464" s="102"/>
      <c r="AS464" s="102"/>
      <c r="AT464" s="102"/>
      <c r="AU464" s="102"/>
      <c r="AV464" s="102"/>
      <c r="AW464" s="102"/>
      <c r="AX464" s="102"/>
      <c r="AY464" s="102"/>
      <c r="AZ464" s="102"/>
      <c r="BA464" s="102"/>
      <c r="BB464" s="102"/>
      <c r="BC464" s="102"/>
      <c r="BD464" s="102"/>
      <c r="BE464" s="102"/>
      <c r="BF464" s="102"/>
      <c r="BG464" s="102"/>
      <c r="BH464" s="102"/>
      <c r="BI464" s="102"/>
      <c r="BJ464" s="102"/>
      <c r="BK464" s="102"/>
      <c r="BL464" s="102"/>
      <c r="BM464" s="102"/>
      <c r="BN464" s="102"/>
      <c r="BO464" s="102"/>
      <c r="BP464" s="102"/>
      <c r="BQ464" s="102"/>
      <c r="BR464" s="102"/>
      <c r="BS464" s="102"/>
      <c r="BT464" s="102"/>
      <c r="BU464" s="102"/>
    </row>
    <row r="465" spans="15:73"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102"/>
      <c r="AJ465" s="102"/>
      <c r="AK465" s="102"/>
      <c r="AL465" s="102"/>
      <c r="AM465" s="102"/>
      <c r="AN465" s="102"/>
      <c r="AO465" s="102"/>
      <c r="AP465" s="102"/>
      <c r="AQ465" s="102"/>
      <c r="AR465" s="102"/>
      <c r="AS465" s="102"/>
      <c r="AT465" s="102"/>
      <c r="AU465" s="102"/>
      <c r="AV465" s="102"/>
      <c r="AW465" s="102"/>
      <c r="AX465" s="102"/>
      <c r="AY465" s="102"/>
      <c r="AZ465" s="102"/>
      <c r="BA465" s="102"/>
      <c r="BB465" s="102"/>
      <c r="BC465" s="102"/>
      <c r="BD465" s="102"/>
      <c r="BE465" s="102"/>
      <c r="BF465" s="102"/>
      <c r="BG465" s="102"/>
      <c r="BH465" s="102"/>
      <c r="BI465" s="102"/>
      <c r="BJ465" s="102"/>
      <c r="BK465" s="102"/>
      <c r="BL465" s="102"/>
      <c r="BM465" s="102"/>
      <c r="BN465" s="102"/>
      <c r="BO465" s="102"/>
      <c r="BP465" s="102"/>
      <c r="BQ465" s="102"/>
      <c r="BR465" s="102"/>
      <c r="BS465" s="102"/>
      <c r="BT465" s="102"/>
      <c r="BU465" s="102"/>
    </row>
    <row r="466" spans="15:73"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102"/>
      <c r="AJ466" s="102"/>
      <c r="AK466" s="102"/>
      <c r="AL466" s="102"/>
      <c r="AM466" s="102"/>
      <c r="AN466" s="102"/>
      <c r="AO466" s="102"/>
      <c r="AP466" s="102"/>
      <c r="AQ466" s="102"/>
      <c r="AR466" s="102"/>
      <c r="AS466" s="102"/>
      <c r="AT466" s="102"/>
      <c r="AU466" s="102"/>
      <c r="AV466" s="102"/>
      <c r="AW466" s="102"/>
      <c r="AX466" s="102"/>
      <c r="AY466" s="102"/>
      <c r="AZ466" s="102"/>
      <c r="BA466" s="102"/>
      <c r="BB466" s="102"/>
      <c r="BC466" s="102"/>
      <c r="BD466" s="102"/>
      <c r="BE466" s="102"/>
      <c r="BF466" s="102"/>
      <c r="BG466" s="102"/>
      <c r="BH466" s="102"/>
      <c r="BI466" s="102"/>
      <c r="BJ466" s="102"/>
      <c r="BK466" s="102"/>
      <c r="BL466" s="102"/>
      <c r="BM466" s="102"/>
      <c r="BN466" s="102"/>
      <c r="BO466" s="102"/>
      <c r="BP466" s="102"/>
      <c r="BQ466" s="102"/>
      <c r="BR466" s="102"/>
      <c r="BS466" s="102"/>
      <c r="BT466" s="102"/>
      <c r="BU466" s="102"/>
    </row>
    <row r="467" spans="15:73"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102"/>
      <c r="AJ467" s="102"/>
      <c r="AK467" s="102"/>
      <c r="AL467" s="102"/>
      <c r="AM467" s="102"/>
      <c r="AN467" s="102"/>
      <c r="AO467" s="102"/>
      <c r="AP467" s="102"/>
      <c r="AQ467" s="102"/>
      <c r="AR467" s="102"/>
      <c r="AS467" s="102"/>
      <c r="AT467" s="102"/>
      <c r="AU467" s="102"/>
      <c r="AV467" s="102"/>
      <c r="AW467" s="102"/>
      <c r="AX467" s="102"/>
      <c r="AY467" s="102"/>
      <c r="AZ467" s="102"/>
      <c r="BA467" s="102"/>
      <c r="BB467" s="102"/>
      <c r="BC467" s="102"/>
      <c r="BD467" s="102"/>
      <c r="BE467" s="102"/>
      <c r="BF467" s="102"/>
      <c r="BG467" s="102"/>
      <c r="BH467" s="102"/>
      <c r="BI467" s="102"/>
      <c r="BJ467" s="102"/>
      <c r="BK467" s="102"/>
      <c r="BL467" s="102"/>
      <c r="BM467" s="102"/>
      <c r="BN467" s="102"/>
      <c r="BO467" s="102"/>
      <c r="BP467" s="102"/>
      <c r="BQ467" s="102"/>
      <c r="BR467" s="102"/>
      <c r="BS467" s="102"/>
      <c r="BT467" s="102"/>
      <c r="BU467" s="102"/>
    </row>
    <row r="468" spans="15:73"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102"/>
      <c r="AJ468" s="102"/>
      <c r="AK468" s="102"/>
      <c r="AL468" s="102"/>
      <c r="AM468" s="102"/>
      <c r="AN468" s="102"/>
      <c r="AO468" s="102"/>
      <c r="AP468" s="102"/>
      <c r="AQ468" s="102"/>
      <c r="AR468" s="102"/>
      <c r="AS468" s="102"/>
      <c r="AT468" s="102"/>
      <c r="AU468" s="102"/>
      <c r="AV468" s="102"/>
      <c r="AW468" s="102"/>
      <c r="AX468" s="102"/>
      <c r="AY468" s="102"/>
      <c r="AZ468" s="102"/>
      <c r="BA468" s="102"/>
      <c r="BB468" s="102"/>
      <c r="BC468" s="102"/>
      <c r="BD468" s="102"/>
      <c r="BE468" s="102"/>
      <c r="BF468" s="102"/>
      <c r="BG468" s="102"/>
      <c r="BH468" s="102"/>
      <c r="BI468" s="102"/>
      <c r="BJ468" s="102"/>
      <c r="BK468" s="102"/>
      <c r="BL468" s="102"/>
      <c r="BM468" s="102"/>
      <c r="BN468" s="102"/>
      <c r="BO468" s="102"/>
      <c r="BP468" s="102"/>
      <c r="BQ468" s="102"/>
      <c r="BR468" s="102"/>
      <c r="BS468" s="102"/>
      <c r="BT468" s="102"/>
      <c r="BU468" s="102"/>
    </row>
    <row r="469" spans="15:73"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/>
      <c r="AJ469" s="102"/>
      <c r="AK469" s="102"/>
      <c r="AL469" s="102"/>
      <c r="AM469" s="102"/>
      <c r="AN469" s="102"/>
      <c r="AO469" s="102"/>
      <c r="AP469" s="102"/>
      <c r="AQ469" s="102"/>
      <c r="AR469" s="102"/>
      <c r="AS469" s="102"/>
      <c r="AT469" s="102"/>
      <c r="AU469" s="102"/>
      <c r="AV469" s="102"/>
      <c r="AW469" s="102"/>
      <c r="AX469" s="102"/>
      <c r="AY469" s="102"/>
      <c r="AZ469" s="102"/>
      <c r="BA469" s="102"/>
      <c r="BB469" s="102"/>
      <c r="BC469" s="102"/>
      <c r="BD469" s="102"/>
      <c r="BE469" s="102"/>
      <c r="BF469" s="102"/>
      <c r="BG469" s="102"/>
      <c r="BH469" s="102"/>
      <c r="BI469" s="102"/>
      <c r="BJ469" s="102"/>
      <c r="BK469" s="102"/>
      <c r="BL469" s="102"/>
      <c r="BM469" s="102"/>
      <c r="BN469" s="102"/>
      <c r="BO469" s="102"/>
      <c r="BP469" s="102"/>
      <c r="BQ469" s="102"/>
      <c r="BR469" s="102"/>
      <c r="BS469" s="102"/>
      <c r="BT469" s="102"/>
      <c r="BU469" s="102"/>
    </row>
    <row r="470" spans="15:73"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102"/>
      <c r="AJ470" s="102"/>
      <c r="AK470" s="102"/>
      <c r="AL470" s="102"/>
      <c r="AM470" s="102"/>
      <c r="AN470" s="102"/>
      <c r="AO470" s="102"/>
      <c r="AP470" s="102"/>
      <c r="AQ470" s="102"/>
      <c r="AR470" s="102"/>
      <c r="AS470" s="102"/>
      <c r="AT470" s="102"/>
      <c r="AU470" s="102"/>
      <c r="AV470" s="102"/>
      <c r="AW470" s="102"/>
      <c r="AX470" s="102"/>
      <c r="AY470" s="102"/>
      <c r="AZ470" s="102"/>
      <c r="BA470" s="102"/>
      <c r="BB470" s="102"/>
      <c r="BC470" s="102"/>
      <c r="BD470" s="102"/>
      <c r="BE470" s="102"/>
      <c r="BF470" s="102"/>
      <c r="BG470" s="102"/>
      <c r="BH470" s="102"/>
      <c r="BI470" s="102"/>
      <c r="BJ470" s="102"/>
      <c r="BK470" s="102"/>
      <c r="BL470" s="102"/>
      <c r="BM470" s="102"/>
      <c r="BN470" s="102"/>
      <c r="BO470" s="102"/>
      <c r="BP470" s="102"/>
      <c r="BQ470" s="102"/>
      <c r="BR470" s="102"/>
      <c r="BS470" s="102"/>
      <c r="BT470" s="102"/>
      <c r="BU470" s="102"/>
    </row>
    <row r="471" spans="15:73"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102"/>
      <c r="AJ471" s="102"/>
      <c r="AK471" s="102"/>
      <c r="AL471" s="102"/>
      <c r="AM471" s="102"/>
      <c r="AN471" s="102"/>
      <c r="AO471" s="102"/>
      <c r="AP471" s="102"/>
      <c r="AQ471" s="102"/>
      <c r="AR471" s="102"/>
      <c r="AS471" s="102"/>
      <c r="AT471" s="102"/>
      <c r="AU471" s="102"/>
      <c r="AV471" s="102"/>
      <c r="AW471" s="102"/>
      <c r="AX471" s="102"/>
      <c r="AY471" s="102"/>
      <c r="AZ471" s="102"/>
      <c r="BA471" s="102"/>
      <c r="BB471" s="102"/>
      <c r="BC471" s="102"/>
      <c r="BD471" s="102"/>
      <c r="BE471" s="102"/>
      <c r="BF471" s="102"/>
      <c r="BG471" s="102"/>
      <c r="BH471" s="102"/>
      <c r="BI471" s="102"/>
      <c r="BJ471" s="102"/>
      <c r="BK471" s="102"/>
      <c r="BL471" s="102"/>
      <c r="BM471" s="102"/>
      <c r="BN471" s="102"/>
      <c r="BO471" s="102"/>
      <c r="BP471" s="102"/>
      <c r="BQ471" s="102"/>
      <c r="BR471" s="102"/>
      <c r="BS471" s="102"/>
      <c r="BT471" s="102"/>
      <c r="BU471" s="102"/>
    </row>
    <row r="472" spans="15:73"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/>
      <c r="AJ472" s="102"/>
      <c r="AK472" s="102"/>
      <c r="AL472" s="102"/>
      <c r="AM472" s="102"/>
      <c r="AN472" s="102"/>
      <c r="AO472" s="102"/>
      <c r="AP472" s="102"/>
      <c r="AQ472" s="102"/>
      <c r="AR472" s="102"/>
      <c r="AS472" s="102"/>
      <c r="AT472" s="102"/>
      <c r="AU472" s="102"/>
      <c r="AV472" s="102"/>
      <c r="AW472" s="102"/>
      <c r="AX472" s="102"/>
      <c r="AY472" s="102"/>
      <c r="AZ472" s="102"/>
      <c r="BA472" s="102"/>
      <c r="BB472" s="102"/>
      <c r="BC472" s="102"/>
      <c r="BD472" s="102"/>
      <c r="BE472" s="102"/>
      <c r="BF472" s="102"/>
      <c r="BG472" s="102"/>
      <c r="BH472" s="102"/>
      <c r="BI472" s="102"/>
      <c r="BJ472" s="102"/>
      <c r="BK472" s="102"/>
      <c r="BL472" s="102"/>
      <c r="BM472" s="102"/>
      <c r="BN472" s="102"/>
      <c r="BO472" s="102"/>
      <c r="BP472" s="102"/>
      <c r="BQ472" s="102"/>
      <c r="BR472" s="102"/>
      <c r="BS472" s="102"/>
      <c r="BT472" s="102"/>
      <c r="BU472" s="102"/>
    </row>
    <row r="473" spans="15:73"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  <c r="AA473" s="102"/>
      <c r="AB473" s="102"/>
      <c r="AC473" s="102"/>
      <c r="AD473" s="102"/>
      <c r="AE473" s="102"/>
      <c r="AF473" s="102"/>
      <c r="AG473" s="102"/>
      <c r="AH473" s="102"/>
      <c r="AI473" s="102"/>
      <c r="AJ473" s="102"/>
      <c r="AK473" s="102"/>
      <c r="AL473" s="102"/>
      <c r="AM473" s="102"/>
      <c r="AN473" s="102"/>
      <c r="AO473" s="102"/>
      <c r="AP473" s="102"/>
      <c r="AQ473" s="102"/>
      <c r="AR473" s="102"/>
      <c r="AS473" s="102"/>
      <c r="AT473" s="102"/>
      <c r="AU473" s="102"/>
      <c r="AV473" s="102"/>
      <c r="AW473" s="102"/>
      <c r="AX473" s="102"/>
      <c r="AY473" s="102"/>
      <c r="AZ473" s="102"/>
      <c r="BA473" s="102"/>
      <c r="BB473" s="102"/>
      <c r="BC473" s="102"/>
      <c r="BD473" s="102"/>
      <c r="BE473" s="102"/>
      <c r="BF473" s="102"/>
      <c r="BG473" s="102"/>
      <c r="BH473" s="102"/>
      <c r="BI473" s="102"/>
      <c r="BJ473" s="102"/>
      <c r="BK473" s="102"/>
      <c r="BL473" s="102"/>
      <c r="BM473" s="102"/>
      <c r="BN473" s="102"/>
      <c r="BO473" s="102"/>
      <c r="BP473" s="102"/>
      <c r="BQ473" s="102"/>
      <c r="BR473" s="102"/>
      <c r="BS473" s="102"/>
      <c r="BT473" s="102"/>
      <c r="BU473" s="102"/>
    </row>
    <row r="474" spans="15:73"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  <c r="AA474" s="102"/>
      <c r="AB474" s="102"/>
      <c r="AC474" s="102"/>
      <c r="AD474" s="102"/>
      <c r="AE474" s="102"/>
      <c r="AF474" s="102"/>
      <c r="AG474" s="102"/>
      <c r="AH474" s="102"/>
      <c r="AI474" s="102"/>
      <c r="AJ474" s="102"/>
      <c r="AK474" s="102"/>
      <c r="AL474" s="102"/>
      <c r="AM474" s="102"/>
      <c r="AN474" s="102"/>
      <c r="AO474" s="102"/>
      <c r="AP474" s="102"/>
      <c r="AQ474" s="102"/>
      <c r="AR474" s="102"/>
      <c r="AS474" s="102"/>
      <c r="AT474" s="102"/>
      <c r="AU474" s="102"/>
      <c r="AV474" s="102"/>
      <c r="AW474" s="102"/>
      <c r="AX474" s="102"/>
      <c r="AY474" s="102"/>
      <c r="AZ474" s="102"/>
      <c r="BA474" s="102"/>
      <c r="BB474" s="102"/>
      <c r="BC474" s="102"/>
      <c r="BD474" s="102"/>
      <c r="BE474" s="102"/>
      <c r="BF474" s="102"/>
      <c r="BG474" s="102"/>
      <c r="BH474" s="102"/>
      <c r="BI474" s="102"/>
      <c r="BJ474" s="102"/>
      <c r="BK474" s="102"/>
      <c r="BL474" s="102"/>
      <c r="BM474" s="102"/>
      <c r="BN474" s="102"/>
      <c r="BO474" s="102"/>
      <c r="BP474" s="102"/>
      <c r="BQ474" s="102"/>
      <c r="BR474" s="102"/>
      <c r="BS474" s="102"/>
      <c r="BT474" s="102"/>
      <c r="BU474" s="102"/>
    </row>
    <row r="475" spans="15:73"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102"/>
      <c r="AJ475" s="102"/>
      <c r="AK475" s="102"/>
      <c r="AL475" s="102"/>
      <c r="AM475" s="102"/>
      <c r="AN475" s="102"/>
      <c r="AO475" s="102"/>
      <c r="AP475" s="102"/>
      <c r="AQ475" s="102"/>
      <c r="AR475" s="102"/>
      <c r="AS475" s="102"/>
      <c r="AT475" s="102"/>
      <c r="AU475" s="102"/>
      <c r="AV475" s="102"/>
      <c r="AW475" s="102"/>
      <c r="AX475" s="102"/>
      <c r="AY475" s="102"/>
      <c r="AZ475" s="102"/>
      <c r="BA475" s="102"/>
      <c r="BB475" s="102"/>
      <c r="BC475" s="102"/>
      <c r="BD475" s="102"/>
      <c r="BE475" s="102"/>
      <c r="BF475" s="102"/>
      <c r="BG475" s="102"/>
      <c r="BH475" s="102"/>
      <c r="BI475" s="102"/>
      <c r="BJ475" s="102"/>
      <c r="BK475" s="102"/>
      <c r="BL475" s="102"/>
      <c r="BM475" s="102"/>
      <c r="BN475" s="102"/>
      <c r="BO475" s="102"/>
      <c r="BP475" s="102"/>
      <c r="BQ475" s="102"/>
      <c r="BR475" s="102"/>
      <c r="BS475" s="102"/>
      <c r="BT475" s="102"/>
      <c r="BU475" s="102"/>
    </row>
    <row r="476" spans="15:73"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/>
      <c r="AJ476" s="102"/>
      <c r="AK476" s="102"/>
      <c r="AL476" s="102"/>
      <c r="AM476" s="102"/>
      <c r="AN476" s="102"/>
      <c r="AO476" s="102"/>
      <c r="AP476" s="102"/>
      <c r="AQ476" s="102"/>
      <c r="AR476" s="102"/>
      <c r="AS476" s="102"/>
      <c r="AT476" s="102"/>
      <c r="AU476" s="102"/>
      <c r="AV476" s="102"/>
      <c r="AW476" s="102"/>
      <c r="AX476" s="102"/>
      <c r="AY476" s="102"/>
      <c r="AZ476" s="102"/>
      <c r="BA476" s="102"/>
      <c r="BB476" s="102"/>
      <c r="BC476" s="102"/>
      <c r="BD476" s="102"/>
      <c r="BE476" s="102"/>
      <c r="BF476" s="102"/>
      <c r="BG476" s="102"/>
      <c r="BH476" s="102"/>
      <c r="BI476" s="102"/>
      <c r="BJ476" s="102"/>
      <c r="BK476" s="102"/>
      <c r="BL476" s="102"/>
      <c r="BM476" s="102"/>
      <c r="BN476" s="102"/>
      <c r="BO476" s="102"/>
      <c r="BP476" s="102"/>
      <c r="BQ476" s="102"/>
      <c r="BR476" s="102"/>
      <c r="BS476" s="102"/>
      <c r="BT476" s="102"/>
      <c r="BU476" s="102"/>
    </row>
    <row r="477" spans="15:73"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  <c r="AA477" s="102"/>
      <c r="AB477" s="102"/>
      <c r="AC477" s="102"/>
      <c r="AD477" s="102"/>
      <c r="AE477" s="102"/>
      <c r="AF477" s="102"/>
      <c r="AG477" s="102"/>
      <c r="AH477" s="102"/>
      <c r="AI477" s="102"/>
      <c r="AJ477" s="102"/>
      <c r="AK477" s="102"/>
      <c r="AL477" s="102"/>
      <c r="AM477" s="102"/>
      <c r="AN477" s="102"/>
      <c r="AO477" s="102"/>
      <c r="AP477" s="102"/>
      <c r="AQ477" s="102"/>
      <c r="AR477" s="102"/>
      <c r="AS477" s="102"/>
      <c r="AT477" s="102"/>
      <c r="AU477" s="102"/>
      <c r="AV477" s="102"/>
      <c r="AW477" s="102"/>
      <c r="AX477" s="102"/>
      <c r="AY477" s="102"/>
      <c r="AZ477" s="102"/>
      <c r="BA477" s="102"/>
      <c r="BB477" s="102"/>
      <c r="BC477" s="102"/>
      <c r="BD477" s="102"/>
      <c r="BE477" s="102"/>
      <c r="BF477" s="102"/>
      <c r="BG477" s="102"/>
      <c r="BH477" s="102"/>
      <c r="BI477" s="102"/>
      <c r="BJ477" s="102"/>
      <c r="BK477" s="102"/>
      <c r="BL477" s="102"/>
      <c r="BM477" s="102"/>
      <c r="BN477" s="102"/>
      <c r="BO477" s="102"/>
      <c r="BP477" s="102"/>
      <c r="BQ477" s="102"/>
      <c r="BR477" s="102"/>
      <c r="BS477" s="102"/>
      <c r="BT477" s="102"/>
      <c r="BU477" s="102"/>
    </row>
    <row r="478" spans="15:73"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  <c r="AA478" s="102"/>
      <c r="AB478" s="102"/>
      <c r="AC478" s="102"/>
      <c r="AD478" s="102"/>
      <c r="AE478" s="102"/>
      <c r="AF478" s="102"/>
      <c r="AG478" s="102"/>
      <c r="AH478" s="102"/>
      <c r="AI478" s="102"/>
      <c r="AJ478" s="102"/>
      <c r="AK478" s="102"/>
      <c r="AL478" s="102"/>
      <c r="AM478" s="102"/>
      <c r="AN478" s="102"/>
      <c r="AO478" s="102"/>
      <c r="AP478" s="102"/>
      <c r="AQ478" s="102"/>
      <c r="AR478" s="102"/>
      <c r="AS478" s="102"/>
      <c r="AT478" s="102"/>
      <c r="AU478" s="102"/>
      <c r="AV478" s="102"/>
      <c r="AW478" s="102"/>
      <c r="AX478" s="102"/>
      <c r="AY478" s="102"/>
      <c r="AZ478" s="102"/>
      <c r="BA478" s="102"/>
      <c r="BB478" s="102"/>
      <c r="BC478" s="102"/>
      <c r="BD478" s="102"/>
      <c r="BE478" s="102"/>
      <c r="BF478" s="102"/>
      <c r="BG478" s="102"/>
      <c r="BH478" s="102"/>
      <c r="BI478" s="102"/>
      <c r="BJ478" s="102"/>
      <c r="BK478" s="102"/>
      <c r="BL478" s="102"/>
      <c r="BM478" s="102"/>
      <c r="BN478" s="102"/>
      <c r="BO478" s="102"/>
      <c r="BP478" s="102"/>
      <c r="BQ478" s="102"/>
      <c r="BR478" s="102"/>
      <c r="BS478" s="102"/>
      <c r="BT478" s="102"/>
      <c r="BU478" s="102"/>
    </row>
    <row r="479" spans="15:73"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  <c r="AA479" s="102"/>
      <c r="AB479" s="102"/>
      <c r="AC479" s="102"/>
      <c r="AD479" s="102"/>
      <c r="AE479" s="102"/>
      <c r="AF479" s="102"/>
      <c r="AG479" s="102"/>
      <c r="AH479" s="102"/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  <c r="AS479" s="102"/>
      <c r="AT479" s="102"/>
      <c r="AU479" s="102"/>
      <c r="AV479" s="102"/>
      <c r="AW479" s="102"/>
      <c r="AX479" s="102"/>
      <c r="AY479" s="102"/>
      <c r="AZ479" s="102"/>
      <c r="BA479" s="102"/>
      <c r="BB479" s="102"/>
      <c r="BC479" s="102"/>
      <c r="BD479" s="102"/>
      <c r="BE479" s="102"/>
      <c r="BF479" s="102"/>
      <c r="BG479" s="102"/>
      <c r="BH479" s="102"/>
      <c r="BI479" s="102"/>
      <c r="BJ479" s="102"/>
      <c r="BK479" s="102"/>
      <c r="BL479" s="102"/>
      <c r="BM479" s="102"/>
      <c r="BN479" s="102"/>
      <c r="BO479" s="102"/>
      <c r="BP479" s="102"/>
      <c r="BQ479" s="102"/>
      <c r="BR479" s="102"/>
      <c r="BS479" s="102"/>
      <c r="BT479" s="102"/>
      <c r="BU479" s="102"/>
    </row>
    <row r="480" spans="15:73"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102"/>
      <c r="BB480" s="102"/>
      <c r="BC480" s="102"/>
      <c r="BD480" s="102"/>
      <c r="BE480" s="102"/>
      <c r="BF480" s="102"/>
      <c r="BG480" s="102"/>
      <c r="BH480" s="102"/>
      <c r="BI480" s="102"/>
      <c r="BJ480" s="102"/>
      <c r="BK480" s="102"/>
      <c r="BL480" s="102"/>
      <c r="BM480" s="102"/>
      <c r="BN480" s="102"/>
      <c r="BO480" s="102"/>
      <c r="BP480" s="102"/>
      <c r="BQ480" s="102"/>
      <c r="BR480" s="102"/>
      <c r="BS480" s="102"/>
      <c r="BT480" s="102"/>
      <c r="BU480" s="102"/>
    </row>
    <row r="481" spans="15:73"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  <c r="AS481" s="102"/>
      <c r="AT481" s="102"/>
      <c r="AU481" s="102"/>
      <c r="AV481" s="102"/>
      <c r="AW481" s="102"/>
      <c r="AX481" s="102"/>
      <c r="AY481" s="102"/>
      <c r="AZ481" s="102"/>
      <c r="BA481" s="102"/>
      <c r="BB481" s="102"/>
      <c r="BC481" s="102"/>
      <c r="BD481" s="102"/>
      <c r="BE481" s="102"/>
      <c r="BF481" s="102"/>
      <c r="BG481" s="102"/>
      <c r="BH481" s="102"/>
      <c r="BI481" s="102"/>
      <c r="BJ481" s="102"/>
      <c r="BK481" s="102"/>
      <c r="BL481" s="102"/>
      <c r="BM481" s="102"/>
      <c r="BN481" s="102"/>
      <c r="BO481" s="102"/>
      <c r="BP481" s="102"/>
      <c r="BQ481" s="102"/>
      <c r="BR481" s="102"/>
      <c r="BS481" s="102"/>
      <c r="BT481" s="102"/>
      <c r="BU481" s="102"/>
    </row>
    <row r="482" spans="15:73"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  <c r="AS482" s="102"/>
      <c r="AT482" s="102"/>
      <c r="AU482" s="102"/>
      <c r="AV482" s="102"/>
      <c r="AW482" s="102"/>
      <c r="AX482" s="102"/>
      <c r="AY482" s="102"/>
      <c r="AZ482" s="102"/>
      <c r="BA482" s="102"/>
      <c r="BB482" s="102"/>
      <c r="BC482" s="102"/>
      <c r="BD482" s="102"/>
      <c r="BE482" s="102"/>
      <c r="BF482" s="102"/>
      <c r="BG482" s="102"/>
      <c r="BH482" s="102"/>
      <c r="BI482" s="102"/>
      <c r="BJ482" s="102"/>
      <c r="BK482" s="102"/>
      <c r="BL482" s="102"/>
      <c r="BM482" s="102"/>
      <c r="BN482" s="102"/>
      <c r="BO482" s="102"/>
      <c r="BP482" s="102"/>
      <c r="BQ482" s="102"/>
      <c r="BR482" s="102"/>
      <c r="BS482" s="102"/>
      <c r="BT482" s="102"/>
      <c r="BU482" s="102"/>
    </row>
    <row r="483" spans="15:73"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  <c r="AS483" s="102"/>
      <c r="AT483" s="102"/>
      <c r="AU483" s="102"/>
      <c r="AV483" s="102"/>
      <c r="AW483" s="102"/>
      <c r="AX483" s="102"/>
      <c r="AY483" s="102"/>
      <c r="AZ483" s="102"/>
      <c r="BA483" s="102"/>
      <c r="BB483" s="102"/>
      <c r="BC483" s="102"/>
      <c r="BD483" s="102"/>
      <c r="BE483" s="102"/>
      <c r="BF483" s="102"/>
      <c r="BG483" s="102"/>
      <c r="BH483" s="102"/>
      <c r="BI483" s="102"/>
      <c r="BJ483" s="102"/>
      <c r="BK483" s="102"/>
      <c r="BL483" s="102"/>
      <c r="BM483" s="102"/>
      <c r="BN483" s="102"/>
      <c r="BO483" s="102"/>
      <c r="BP483" s="102"/>
      <c r="BQ483" s="102"/>
      <c r="BR483" s="102"/>
      <c r="BS483" s="102"/>
      <c r="BT483" s="102"/>
      <c r="BU483" s="102"/>
    </row>
    <row r="484" spans="15:73"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  <c r="AV484" s="102"/>
      <c r="AW484" s="102"/>
      <c r="AX484" s="102"/>
      <c r="AY484" s="102"/>
      <c r="AZ484" s="102"/>
      <c r="BA484" s="102"/>
      <c r="BB484" s="102"/>
      <c r="BC484" s="102"/>
      <c r="BD484" s="102"/>
      <c r="BE484" s="102"/>
      <c r="BF484" s="102"/>
      <c r="BG484" s="102"/>
      <c r="BH484" s="102"/>
      <c r="BI484" s="102"/>
      <c r="BJ484" s="102"/>
      <c r="BK484" s="102"/>
      <c r="BL484" s="102"/>
      <c r="BM484" s="102"/>
      <c r="BN484" s="102"/>
      <c r="BO484" s="102"/>
      <c r="BP484" s="102"/>
      <c r="BQ484" s="102"/>
      <c r="BR484" s="102"/>
      <c r="BS484" s="102"/>
      <c r="BT484" s="102"/>
      <c r="BU484" s="102"/>
    </row>
    <row r="485" spans="15:73"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  <c r="AS485" s="102"/>
      <c r="AT485" s="102"/>
      <c r="AU485" s="102"/>
      <c r="AV485" s="102"/>
      <c r="AW485" s="102"/>
      <c r="AX485" s="102"/>
      <c r="AY485" s="102"/>
      <c r="AZ485" s="102"/>
      <c r="BA485" s="102"/>
      <c r="BB485" s="102"/>
      <c r="BC485" s="102"/>
      <c r="BD485" s="102"/>
      <c r="BE485" s="102"/>
      <c r="BF485" s="102"/>
      <c r="BG485" s="102"/>
      <c r="BH485" s="102"/>
      <c r="BI485" s="102"/>
      <c r="BJ485" s="102"/>
      <c r="BK485" s="102"/>
      <c r="BL485" s="102"/>
      <c r="BM485" s="102"/>
      <c r="BN485" s="102"/>
      <c r="BO485" s="102"/>
      <c r="BP485" s="102"/>
      <c r="BQ485" s="102"/>
      <c r="BR485" s="102"/>
      <c r="BS485" s="102"/>
      <c r="BT485" s="102"/>
      <c r="BU485" s="102"/>
    </row>
    <row r="486" spans="15:73"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  <c r="AS486" s="102"/>
      <c r="AT486" s="102"/>
      <c r="AU486" s="102"/>
      <c r="AV486" s="102"/>
      <c r="AW486" s="102"/>
      <c r="AX486" s="102"/>
      <c r="AY486" s="102"/>
      <c r="AZ486" s="102"/>
      <c r="BA486" s="102"/>
      <c r="BB486" s="102"/>
      <c r="BC486" s="102"/>
      <c r="BD486" s="102"/>
      <c r="BE486" s="102"/>
      <c r="BF486" s="102"/>
      <c r="BG486" s="102"/>
      <c r="BH486" s="102"/>
      <c r="BI486" s="102"/>
      <c r="BJ486" s="102"/>
      <c r="BK486" s="102"/>
      <c r="BL486" s="102"/>
      <c r="BM486" s="102"/>
      <c r="BN486" s="102"/>
      <c r="BO486" s="102"/>
      <c r="BP486" s="102"/>
      <c r="BQ486" s="102"/>
      <c r="BR486" s="102"/>
      <c r="BS486" s="102"/>
      <c r="BT486" s="102"/>
      <c r="BU486" s="102"/>
    </row>
    <row r="487" spans="15:73"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  <c r="AS487" s="102"/>
      <c r="AT487" s="102"/>
      <c r="AU487" s="102"/>
      <c r="AV487" s="102"/>
      <c r="AW487" s="102"/>
      <c r="AX487" s="102"/>
      <c r="AY487" s="102"/>
      <c r="AZ487" s="102"/>
      <c r="BA487" s="102"/>
      <c r="BB487" s="102"/>
      <c r="BC487" s="102"/>
      <c r="BD487" s="102"/>
      <c r="BE487" s="102"/>
      <c r="BF487" s="102"/>
      <c r="BG487" s="102"/>
      <c r="BH487" s="102"/>
      <c r="BI487" s="102"/>
      <c r="BJ487" s="102"/>
      <c r="BK487" s="102"/>
      <c r="BL487" s="102"/>
      <c r="BM487" s="102"/>
      <c r="BN487" s="102"/>
      <c r="BO487" s="102"/>
      <c r="BP487" s="102"/>
      <c r="BQ487" s="102"/>
      <c r="BR487" s="102"/>
      <c r="BS487" s="102"/>
      <c r="BT487" s="102"/>
      <c r="BU487" s="102"/>
    </row>
    <row r="488" spans="15:73"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  <c r="BM488" s="102"/>
      <c r="BN488" s="102"/>
      <c r="BO488" s="102"/>
      <c r="BP488" s="102"/>
      <c r="BQ488" s="102"/>
      <c r="BR488" s="102"/>
      <c r="BS488" s="102"/>
      <c r="BT488" s="102"/>
      <c r="BU488" s="102"/>
    </row>
    <row r="489" spans="15:73"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  <c r="BM489" s="102"/>
      <c r="BN489" s="102"/>
      <c r="BO489" s="102"/>
      <c r="BP489" s="102"/>
      <c r="BQ489" s="102"/>
      <c r="BR489" s="102"/>
      <c r="BS489" s="102"/>
      <c r="BT489" s="102"/>
      <c r="BU489" s="102"/>
    </row>
    <row r="490" spans="15:73"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  <c r="BM490" s="102"/>
      <c r="BN490" s="102"/>
      <c r="BO490" s="102"/>
      <c r="BP490" s="102"/>
      <c r="BQ490" s="102"/>
      <c r="BR490" s="102"/>
      <c r="BS490" s="102"/>
      <c r="BT490" s="102"/>
      <c r="BU490" s="102"/>
    </row>
    <row r="491" spans="15:73"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  <c r="BM491" s="102"/>
      <c r="BN491" s="102"/>
      <c r="BO491" s="102"/>
      <c r="BP491" s="102"/>
      <c r="BQ491" s="102"/>
      <c r="BR491" s="102"/>
      <c r="BS491" s="102"/>
      <c r="BT491" s="102"/>
      <c r="BU491" s="102"/>
    </row>
    <row r="492" spans="15:73"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/>
      <c r="BO492" s="102"/>
      <c r="BP492" s="102"/>
      <c r="BQ492" s="102"/>
      <c r="BR492" s="102"/>
      <c r="BS492" s="102"/>
      <c r="BT492" s="102"/>
      <c r="BU492" s="102"/>
    </row>
    <row r="493" spans="15:73"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  <c r="BM493" s="102"/>
      <c r="BN493" s="102"/>
      <c r="BO493" s="102"/>
      <c r="BP493" s="102"/>
      <c r="BQ493" s="102"/>
      <c r="BR493" s="102"/>
      <c r="BS493" s="102"/>
      <c r="BT493" s="102"/>
      <c r="BU493" s="102"/>
    </row>
    <row r="494" spans="15:73"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  <c r="BM494" s="102"/>
      <c r="BN494" s="102"/>
      <c r="BO494" s="102"/>
      <c r="BP494" s="102"/>
      <c r="BQ494" s="102"/>
      <c r="BR494" s="102"/>
      <c r="BS494" s="102"/>
      <c r="BT494" s="102"/>
      <c r="BU494" s="102"/>
    </row>
    <row r="495" spans="15:73"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  <c r="BM495" s="102"/>
      <c r="BN495" s="102"/>
      <c r="BO495" s="102"/>
      <c r="BP495" s="102"/>
      <c r="BQ495" s="102"/>
      <c r="BR495" s="102"/>
      <c r="BS495" s="102"/>
      <c r="BT495" s="102"/>
      <c r="BU495" s="102"/>
    </row>
    <row r="496" spans="15:73"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  <c r="BM496" s="102"/>
      <c r="BN496" s="102"/>
      <c r="BO496" s="102"/>
      <c r="BP496" s="102"/>
      <c r="BQ496" s="102"/>
      <c r="BR496" s="102"/>
      <c r="BS496" s="102"/>
      <c r="BT496" s="102"/>
      <c r="BU496" s="102"/>
    </row>
    <row r="497" spans="15:73"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  <c r="BM497" s="102"/>
      <c r="BN497" s="102"/>
      <c r="BO497" s="102"/>
      <c r="BP497" s="102"/>
      <c r="BQ497" s="102"/>
      <c r="BR497" s="102"/>
      <c r="BS497" s="102"/>
      <c r="BT497" s="102"/>
      <c r="BU497" s="102"/>
    </row>
    <row r="498" spans="15:73"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  <c r="BM498" s="102"/>
      <c r="BN498" s="102"/>
      <c r="BO498" s="102"/>
      <c r="BP498" s="102"/>
      <c r="BQ498" s="102"/>
      <c r="BR498" s="102"/>
      <c r="BS498" s="102"/>
      <c r="BT498" s="102"/>
      <c r="BU498" s="102"/>
    </row>
    <row r="499" spans="15:73"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  <c r="BM499" s="102"/>
      <c r="BN499" s="102"/>
      <c r="BO499" s="102"/>
      <c r="BP499" s="102"/>
      <c r="BQ499" s="102"/>
      <c r="BR499" s="102"/>
      <c r="BS499" s="102"/>
      <c r="BT499" s="102"/>
      <c r="BU499" s="102"/>
    </row>
    <row r="500" spans="15:73"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  <c r="BM500" s="102"/>
      <c r="BN500" s="102"/>
      <c r="BO500" s="102"/>
      <c r="BP500" s="102"/>
      <c r="BQ500" s="102"/>
      <c r="BR500" s="102"/>
      <c r="BS500" s="102"/>
      <c r="BT500" s="102"/>
      <c r="BU500" s="102"/>
    </row>
    <row r="501" spans="15:73"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  <c r="AS501" s="102"/>
      <c r="AT501" s="102"/>
      <c r="AU501" s="102"/>
      <c r="AV501" s="102"/>
      <c r="AW501" s="102"/>
      <c r="AX501" s="102"/>
      <c r="AY501" s="102"/>
      <c r="AZ501" s="102"/>
      <c r="BA501" s="102"/>
      <c r="BB501" s="102"/>
      <c r="BC501" s="102"/>
      <c r="BD501" s="102"/>
      <c r="BE501" s="102"/>
      <c r="BF501" s="102"/>
      <c r="BG501" s="102"/>
      <c r="BH501" s="102"/>
      <c r="BI501" s="102"/>
      <c r="BJ501" s="102"/>
      <c r="BK501" s="102"/>
      <c r="BL501" s="102"/>
      <c r="BM501" s="102"/>
      <c r="BN501" s="102"/>
      <c r="BO501" s="102"/>
      <c r="BP501" s="102"/>
      <c r="BQ501" s="102"/>
      <c r="BR501" s="102"/>
      <c r="BS501" s="102"/>
      <c r="BT501" s="102"/>
      <c r="BU501" s="102"/>
    </row>
    <row r="502" spans="15:73"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  <c r="AS502" s="102"/>
      <c r="AT502" s="102"/>
      <c r="AU502" s="102"/>
      <c r="AV502" s="102"/>
      <c r="AW502" s="102"/>
      <c r="AX502" s="102"/>
      <c r="AY502" s="102"/>
      <c r="AZ502" s="102"/>
      <c r="BA502" s="102"/>
      <c r="BB502" s="102"/>
      <c r="BC502" s="102"/>
      <c r="BD502" s="102"/>
      <c r="BE502" s="102"/>
      <c r="BF502" s="102"/>
      <c r="BG502" s="102"/>
      <c r="BH502" s="102"/>
      <c r="BI502" s="102"/>
      <c r="BJ502" s="102"/>
      <c r="BK502" s="102"/>
      <c r="BL502" s="102"/>
      <c r="BM502" s="102"/>
      <c r="BN502" s="102"/>
      <c r="BO502" s="102"/>
      <c r="BP502" s="102"/>
      <c r="BQ502" s="102"/>
      <c r="BR502" s="102"/>
      <c r="BS502" s="102"/>
      <c r="BT502" s="102"/>
      <c r="BU502" s="102"/>
    </row>
    <row r="503" spans="15:73"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  <c r="AS503" s="102"/>
      <c r="AT503" s="102"/>
      <c r="AU503" s="102"/>
      <c r="AV503" s="102"/>
      <c r="AW503" s="102"/>
      <c r="AX503" s="102"/>
      <c r="AY503" s="102"/>
      <c r="AZ503" s="102"/>
      <c r="BA503" s="102"/>
      <c r="BB503" s="102"/>
      <c r="BC503" s="102"/>
      <c r="BD503" s="102"/>
      <c r="BE503" s="102"/>
      <c r="BF503" s="102"/>
      <c r="BG503" s="102"/>
      <c r="BH503" s="102"/>
      <c r="BI503" s="102"/>
      <c r="BJ503" s="102"/>
      <c r="BK503" s="102"/>
      <c r="BL503" s="102"/>
      <c r="BM503" s="102"/>
      <c r="BN503" s="102"/>
      <c r="BO503" s="102"/>
      <c r="BP503" s="102"/>
      <c r="BQ503" s="102"/>
      <c r="BR503" s="102"/>
      <c r="BS503" s="102"/>
      <c r="BT503" s="102"/>
      <c r="BU503" s="102"/>
    </row>
    <row r="504" spans="15:73"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2"/>
      <c r="BM504" s="102"/>
      <c r="BN504" s="102"/>
      <c r="BO504" s="102"/>
      <c r="BP504" s="102"/>
      <c r="BQ504" s="102"/>
      <c r="BR504" s="102"/>
      <c r="BS504" s="102"/>
      <c r="BT504" s="102"/>
      <c r="BU504" s="102"/>
    </row>
    <row r="505" spans="15:73"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  <c r="AS505" s="102"/>
      <c r="AT505" s="102"/>
      <c r="AU505" s="102"/>
      <c r="AV505" s="102"/>
      <c r="AW505" s="102"/>
      <c r="AX505" s="102"/>
      <c r="AY505" s="102"/>
      <c r="AZ505" s="102"/>
      <c r="BA505" s="102"/>
      <c r="BB505" s="102"/>
      <c r="BC505" s="102"/>
      <c r="BD505" s="102"/>
      <c r="BE505" s="102"/>
      <c r="BF505" s="102"/>
      <c r="BG505" s="102"/>
      <c r="BH505" s="102"/>
      <c r="BI505" s="102"/>
      <c r="BJ505" s="102"/>
      <c r="BK505" s="102"/>
      <c r="BL505" s="102"/>
      <c r="BM505" s="102"/>
      <c r="BN505" s="102"/>
      <c r="BO505" s="102"/>
      <c r="BP505" s="102"/>
      <c r="BQ505" s="102"/>
      <c r="BR505" s="102"/>
      <c r="BS505" s="102"/>
      <c r="BT505" s="102"/>
      <c r="BU505" s="102"/>
    </row>
    <row r="506" spans="15:73"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  <c r="AS506" s="102"/>
      <c r="AT506" s="102"/>
      <c r="AU506" s="102"/>
      <c r="AV506" s="102"/>
      <c r="AW506" s="102"/>
      <c r="AX506" s="102"/>
      <c r="AY506" s="102"/>
      <c r="AZ506" s="102"/>
      <c r="BA506" s="102"/>
      <c r="BB506" s="102"/>
      <c r="BC506" s="102"/>
      <c r="BD506" s="102"/>
      <c r="BE506" s="102"/>
      <c r="BF506" s="102"/>
      <c r="BG506" s="102"/>
      <c r="BH506" s="102"/>
      <c r="BI506" s="102"/>
      <c r="BJ506" s="102"/>
      <c r="BK506" s="102"/>
      <c r="BL506" s="102"/>
      <c r="BM506" s="102"/>
      <c r="BN506" s="102"/>
      <c r="BO506" s="102"/>
      <c r="BP506" s="102"/>
      <c r="BQ506" s="102"/>
      <c r="BR506" s="102"/>
      <c r="BS506" s="102"/>
      <c r="BT506" s="102"/>
      <c r="BU506" s="102"/>
    </row>
    <row r="507" spans="15:73"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  <c r="AS507" s="102"/>
      <c r="AT507" s="102"/>
      <c r="AU507" s="102"/>
      <c r="AV507" s="102"/>
      <c r="AW507" s="102"/>
      <c r="AX507" s="102"/>
      <c r="AY507" s="102"/>
      <c r="AZ507" s="102"/>
      <c r="BA507" s="102"/>
      <c r="BB507" s="102"/>
      <c r="BC507" s="102"/>
      <c r="BD507" s="102"/>
      <c r="BE507" s="102"/>
      <c r="BF507" s="102"/>
      <c r="BG507" s="102"/>
      <c r="BH507" s="102"/>
      <c r="BI507" s="102"/>
      <c r="BJ507" s="102"/>
      <c r="BK507" s="102"/>
      <c r="BL507" s="102"/>
      <c r="BM507" s="102"/>
      <c r="BN507" s="102"/>
      <c r="BO507" s="102"/>
      <c r="BP507" s="102"/>
      <c r="BQ507" s="102"/>
      <c r="BR507" s="102"/>
      <c r="BS507" s="102"/>
      <c r="BT507" s="102"/>
      <c r="BU507" s="102"/>
    </row>
    <row r="508" spans="15:73"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  <c r="AS508" s="102"/>
      <c r="AT508" s="102"/>
      <c r="AU508" s="102"/>
      <c r="AV508" s="102"/>
      <c r="AW508" s="102"/>
      <c r="AX508" s="102"/>
      <c r="AY508" s="102"/>
      <c r="AZ508" s="102"/>
      <c r="BA508" s="102"/>
      <c r="BB508" s="102"/>
      <c r="BC508" s="102"/>
      <c r="BD508" s="102"/>
      <c r="BE508" s="102"/>
      <c r="BF508" s="102"/>
      <c r="BG508" s="102"/>
      <c r="BH508" s="102"/>
      <c r="BI508" s="102"/>
      <c r="BJ508" s="102"/>
      <c r="BK508" s="102"/>
      <c r="BL508" s="102"/>
      <c r="BM508" s="102"/>
      <c r="BN508" s="102"/>
      <c r="BO508" s="102"/>
      <c r="BP508" s="102"/>
      <c r="BQ508" s="102"/>
      <c r="BR508" s="102"/>
      <c r="BS508" s="102"/>
      <c r="BT508" s="102"/>
      <c r="BU508" s="102"/>
    </row>
    <row r="509" spans="15:73"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  <c r="AS509" s="102"/>
      <c r="AT509" s="102"/>
      <c r="AU509" s="102"/>
      <c r="AV509" s="102"/>
      <c r="AW509" s="102"/>
      <c r="AX509" s="102"/>
      <c r="AY509" s="102"/>
      <c r="AZ509" s="102"/>
      <c r="BA509" s="102"/>
      <c r="BB509" s="102"/>
      <c r="BC509" s="102"/>
      <c r="BD509" s="102"/>
      <c r="BE509" s="102"/>
      <c r="BF509" s="102"/>
      <c r="BG509" s="102"/>
      <c r="BH509" s="102"/>
      <c r="BI509" s="102"/>
      <c r="BJ509" s="102"/>
      <c r="BK509" s="102"/>
      <c r="BL509" s="102"/>
      <c r="BM509" s="102"/>
      <c r="BN509" s="102"/>
      <c r="BO509" s="102"/>
      <c r="BP509" s="102"/>
      <c r="BQ509" s="102"/>
      <c r="BR509" s="102"/>
      <c r="BS509" s="102"/>
      <c r="BT509" s="102"/>
      <c r="BU509" s="102"/>
    </row>
    <row r="510" spans="15:73"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  <c r="AS510" s="102"/>
      <c r="AT510" s="102"/>
      <c r="AU510" s="102"/>
      <c r="AV510" s="102"/>
      <c r="AW510" s="102"/>
      <c r="AX510" s="102"/>
      <c r="AY510" s="102"/>
      <c r="AZ510" s="102"/>
      <c r="BA510" s="102"/>
      <c r="BB510" s="102"/>
      <c r="BC510" s="102"/>
      <c r="BD510" s="102"/>
      <c r="BE510" s="102"/>
      <c r="BF510" s="102"/>
      <c r="BG510" s="102"/>
      <c r="BH510" s="102"/>
      <c r="BI510" s="102"/>
      <c r="BJ510" s="102"/>
      <c r="BK510" s="102"/>
      <c r="BL510" s="102"/>
      <c r="BM510" s="102"/>
      <c r="BN510" s="102"/>
      <c r="BO510" s="102"/>
      <c r="BP510" s="102"/>
      <c r="BQ510" s="102"/>
      <c r="BR510" s="102"/>
      <c r="BS510" s="102"/>
      <c r="BT510" s="102"/>
      <c r="BU510" s="102"/>
    </row>
    <row r="511" spans="15:73"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  <c r="AS511" s="102"/>
      <c r="AT511" s="102"/>
      <c r="AU511" s="102"/>
      <c r="AV511" s="102"/>
      <c r="AW511" s="102"/>
      <c r="AX511" s="102"/>
      <c r="AY511" s="102"/>
      <c r="AZ511" s="102"/>
      <c r="BA511" s="102"/>
      <c r="BB511" s="102"/>
      <c r="BC511" s="102"/>
      <c r="BD511" s="102"/>
      <c r="BE511" s="102"/>
      <c r="BF511" s="102"/>
      <c r="BG511" s="102"/>
      <c r="BH511" s="102"/>
      <c r="BI511" s="102"/>
      <c r="BJ511" s="102"/>
      <c r="BK511" s="102"/>
      <c r="BL511" s="102"/>
      <c r="BM511" s="102"/>
      <c r="BN511" s="102"/>
      <c r="BO511" s="102"/>
      <c r="BP511" s="102"/>
      <c r="BQ511" s="102"/>
      <c r="BR511" s="102"/>
      <c r="BS511" s="102"/>
      <c r="BT511" s="102"/>
      <c r="BU511" s="102"/>
    </row>
    <row r="512" spans="15:73"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  <c r="AS512" s="102"/>
      <c r="AT512" s="102"/>
      <c r="AU512" s="102"/>
      <c r="AV512" s="102"/>
      <c r="AW512" s="102"/>
      <c r="AX512" s="102"/>
      <c r="AY512" s="102"/>
      <c r="AZ512" s="102"/>
      <c r="BA512" s="102"/>
      <c r="BB512" s="102"/>
      <c r="BC512" s="102"/>
      <c r="BD512" s="102"/>
      <c r="BE512" s="102"/>
      <c r="BF512" s="102"/>
      <c r="BG512" s="102"/>
      <c r="BH512" s="102"/>
      <c r="BI512" s="102"/>
      <c r="BJ512" s="102"/>
      <c r="BK512" s="102"/>
      <c r="BL512" s="102"/>
      <c r="BM512" s="102"/>
      <c r="BN512" s="102"/>
      <c r="BO512" s="102"/>
      <c r="BP512" s="102"/>
      <c r="BQ512" s="102"/>
      <c r="BR512" s="102"/>
      <c r="BS512" s="102"/>
      <c r="BT512" s="102"/>
      <c r="BU512" s="102"/>
    </row>
    <row r="513" spans="15:73"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102"/>
      <c r="AJ513" s="102"/>
      <c r="AK513" s="102"/>
      <c r="AL513" s="102"/>
      <c r="AM513" s="102"/>
      <c r="AN513" s="102"/>
      <c r="AO513" s="102"/>
      <c r="AP513" s="102"/>
      <c r="AQ513" s="102"/>
      <c r="AR513" s="102"/>
      <c r="AS513" s="102"/>
      <c r="AT513" s="102"/>
      <c r="AU513" s="102"/>
      <c r="AV513" s="102"/>
      <c r="AW513" s="102"/>
      <c r="AX513" s="102"/>
      <c r="AY513" s="102"/>
      <c r="AZ513" s="102"/>
      <c r="BA513" s="102"/>
      <c r="BB513" s="102"/>
      <c r="BC513" s="102"/>
      <c r="BD513" s="102"/>
      <c r="BE513" s="102"/>
      <c r="BF513" s="102"/>
      <c r="BG513" s="102"/>
      <c r="BH513" s="102"/>
      <c r="BI513" s="102"/>
      <c r="BJ513" s="102"/>
      <c r="BK513" s="102"/>
      <c r="BL513" s="102"/>
      <c r="BM513" s="102"/>
      <c r="BN513" s="102"/>
      <c r="BO513" s="102"/>
      <c r="BP513" s="102"/>
      <c r="BQ513" s="102"/>
      <c r="BR513" s="102"/>
      <c r="BS513" s="102"/>
      <c r="BT513" s="102"/>
      <c r="BU513" s="102"/>
    </row>
    <row r="514" spans="15:73"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  <c r="AJ514" s="102"/>
      <c r="AK514" s="102"/>
      <c r="AL514" s="102"/>
      <c r="AM514" s="102"/>
      <c r="AN514" s="102"/>
      <c r="AO514" s="102"/>
      <c r="AP514" s="102"/>
      <c r="AQ514" s="102"/>
      <c r="AR514" s="102"/>
      <c r="AS514" s="102"/>
      <c r="AT514" s="102"/>
      <c r="AU514" s="102"/>
      <c r="AV514" s="102"/>
      <c r="AW514" s="102"/>
      <c r="AX514" s="102"/>
      <c r="AY514" s="102"/>
      <c r="AZ514" s="102"/>
      <c r="BA514" s="102"/>
      <c r="BB514" s="102"/>
      <c r="BC514" s="102"/>
      <c r="BD514" s="102"/>
      <c r="BE514" s="102"/>
      <c r="BF514" s="102"/>
      <c r="BG514" s="102"/>
      <c r="BH514" s="102"/>
      <c r="BI514" s="102"/>
      <c r="BJ514" s="102"/>
      <c r="BK514" s="102"/>
      <c r="BL514" s="102"/>
      <c r="BM514" s="102"/>
      <c r="BN514" s="102"/>
      <c r="BO514" s="102"/>
      <c r="BP514" s="102"/>
      <c r="BQ514" s="102"/>
      <c r="BR514" s="102"/>
      <c r="BS514" s="102"/>
      <c r="BT514" s="102"/>
      <c r="BU514" s="102"/>
    </row>
    <row r="515" spans="15:73"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  <c r="AG515" s="102"/>
      <c r="AH515" s="102"/>
      <c r="AI515" s="102"/>
      <c r="AJ515" s="102"/>
      <c r="AK515" s="102"/>
      <c r="AL515" s="102"/>
      <c r="AM515" s="102"/>
      <c r="AN515" s="102"/>
      <c r="AO515" s="102"/>
      <c r="AP515" s="102"/>
      <c r="AQ515" s="102"/>
      <c r="AR515" s="102"/>
      <c r="AS515" s="102"/>
      <c r="AT515" s="102"/>
      <c r="AU515" s="102"/>
      <c r="AV515" s="102"/>
      <c r="AW515" s="102"/>
      <c r="AX515" s="102"/>
      <c r="AY515" s="102"/>
      <c r="AZ515" s="102"/>
      <c r="BA515" s="102"/>
      <c r="BB515" s="102"/>
      <c r="BC515" s="102"/>
      <c r="BD515" s="102"/>
      <c r="BE515" s="102"/>
      <c r="BF515" s="102"/>
      <c r="BG515" s="102"/>
      <c r="BH515" s="102"/>
      <c r="BI515" s="102"/>
      <c r="BJ515" s="102"/>
      <c r="BK515" s="102"/>
      <c r="BL515" s="102"/>
      <c r="BM515" s="102"/>
      <c r="BN515" s="102"/>
      <c r="BO515" s="102"/>
      <c r="BP515" s="102"/>
      <c r="BQ515" s="102"/>
      <c r="BR515" s="102"/>
      <c r="BS515" s="102"/>
      <c r="BT515" s="102"/>
      <c r="BU515" s="102"/>
    </row>
    <row r="516" spans="15:73"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  <c r="AG516" s="102"/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  <c r="AS516" s="102"/>
      <c r="AT516" s="102"/>
      <c r="AU516" s="102"/>
      <c r="AV516" s="102"/>
      <c r="AW516" s="102"/>
      <c r="AX516" s="102"/>
      <c r="AY516" s="102"/>
      <c r="AZ516" s="102"/>
      <c r="BA516" s="102"/>
      <c r="BB516" s="102"/>
      <c r="BC516" s="102"/>
      <c r="BD516" s="102"/>
      <c r="BE516" s="102"/>
      <c r="BF516" s="102"/>
      <c r="BG516" s="102"/>
      <c r="BH516" s="102"/>
      <c r="BI516" s="102"/>
      <c r="BJ516" s="102"/>
      <c r="BK516" s="102"/>
      <c r="BL516" s="102"/>
      <c r="BM516" s="102"/>
      <c r="BN516" s="102"/>
      <c r="BO516" s="102"/>
      <c r="BP516" s="102"/>
      <c r="BQ516" s="102"/>
      <c r="BR516" s="102"/>
      <c r="BS516" s="102"/>
      <c r="BT516" s="102"/>
      <c r="BU516" s="102"/>
    </row>
    <row r="517" spans="15:73"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  <c r="AS517" s="102"/>
      <c r="AT517" s="102"/>
      <c r="AU517" s="102"/>
      <c r="AV517" s="102"/>
      <c r="AW517" s="102"/>
      <c r="AX517" s="102"/>
      <c r="AY517" s="102"/>
      <c r="AZ517" s="102"/>
      <c r="BA517" s="102"/>
      <c r="BB517" s="102"/>
      <c r="BC517" s="102"/>
      <c r="BD517" s="102"/>
      <c r="BE517" s="102"/>
      <c r="BF517" s="102"/>
      <c r="BG517" s="102"/>
      <c r="BH517" s="102"/>
      <c r="BI517" s="102"/>
      <c r="BJ517" s="102"/>
      <c r="BK517" s="102"/>
      <c r="BL517" s="102"/>
      <c r="BM517" s="102"/>
      <c r="BN517" s="102"/>
      <c r="BO517" s="102"/>
      <c r="BP517" s="102"/>
      <c r="BQ517" s="102"/>
      <c r="BR517" s="102"/>
      <c r="BS517" s="102"/>
      <c r="BT517" s="102"/>
      <c r="BU517" s="102"/>
    </row>
    <row r="518" spans="15:73"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  <c r="AS518" s="102"/>
      <c r="AT518" s="102"/>
      <c r="AU518" s="102"/>
      <c r="AV518" s="102"/>
      <c r="AW518" s="102"/>
      <c r="AX518" s="102"/>
      <c r="AY518" s="102"/>
      <c r="AZ518" s="102"/>
      <c r="BA518" s="102"/>
      <c r="BB518" s="102"/>
      <c r="BC518" s="102"/>
      <c r="BD518" s="102"/>
      <c r="BE518" s="102"/>
      <c r="BF518" s="102"/>
      <c r="BG518" s="102"/>
      <c r="BH518" s="102"/>
      <c r="BI518" s="102"/>
      <c r="BJ518" s="102"/>
      <c r="BK518" s="102"/>
      <c r="BL518" s="102"/>
      <c r="BM518" s="102"/>
      <c r="BN518" s="102"/>
      <c r="BO518" s="102"/>
      <c r="BP518" s="102"/>
      <c r="BQ518" s="102"/>
      <c r="BR518" s="102"/>
      <c r="BS518" s="102"/>
      <c r="BT518" s="102"/>
      <c r="BU518" s="102"/>
    </row>
    <row r="519" spans="15:73"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  <c r="BM519" s="102"/>
      <c r="BN519" s="102"/>
      <c r="BO519" s="102"/>
      <c r="BP519" s="102"/>
      <c r="BQ519" s="102"/>
      <c r="BR519" s="102"/>
      <c r="BS519" s="102"/>
      <c r="BT519" s="102"/>
      <c r="BU519" s="102"/>
    </row>
    <row r="520" spans="15:73"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  <c r="BM520" s="102"/>
      <c r="BN520" s="102"/>
      <c r="BO520" s="102"/>
      <c r="BP520" s="102"/>
      <c r="BQ520" s="102"/>
      <c r="BR520" s="102"/>
      <c r="BS520" s="102"/>
      <c r="BT520" s="102"/>
      <c r="BU520" s="102"/>
    </row>
    <row r="521" spans="15:73"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  <c r="BM521" s="102"/>
      <c r="BN521" s="102"/>
      <c r="BO521" s="102"/>
      <c r="BP521" s="102"/>
      <c r="BQ521" s="102"/>
      <c r="BR521" s="102"/>
      <c r="BS521" s="102"/>
      <c r="BT521" s="102"/>
      <c r="BU521" s="102"/>
    </row>
    <row r="522" spans="15:73"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  <c r="AS522" s="102"/>
      <c r="AT522" s="102"/>
      <c r="AU522" s="102"/>
      <c r="AV522" s="102"/>
      <c r="AW522" s="102"/>
      <c r="AX522" s="102"/>
      <c r="AY522" s="102"/>
      <c r="AZ522" s="102"/>
      <c r="BA522" s="102"/>
      <c r="BB522" s="102"/>
      <c r="BC522" s="102"/>
      <c r="BD522" s="102"/>
      <c r="BE522" s="102"/>
      <c r="BF522" s="102"/>
      <c r="BG522" s="102"/>
      <c r="BH522" s="102"/>
      <c r="BI522" s="102"/>
      <c r="BJ522" s="102"/>
      <c r="BK522" s="102"/>
      <c r="BL522" s="102"/>
      <c r="BM522" s="102"/>
      <c r="BN522" s="102"/>
      <c r="BO522" s="102"/>
      <c r="BP522" s="102"/>
      <c r="BQ522" s="102"/>
      <c r="BR522" s="102"/>
      <c r="BS522" s="102"/>
      <c r="BT522" s="102"/>
      <c r="BU522" s="102"/>
    </row>
    <row r="523" spans="15:73"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2"/>
      <c r="AV523" s="102"/>
      <c r="AW523" s="102"/>
      <c r="AX523" s="102"/>
      <c r="AY523" s="102"/>
      <c r="AZ523" s="102"/>
      <c r="BA523" s="102"/>
      <c r="BB523" s="102"/>
      <c r="BC523" s="102"/>
      <c r="BD523" s="102"/>
      <c r="BE523" s="102"/>
      <c r="BF523" s="102"/>
      <c r="BG523" s="102"/>
      <c r="BH523" s="102"/>
      <c r="BI523" s="102"/>
      <c r="BJ523" s="102"/>
      <c r="BK523" s="102"/>
      <c r="BL523" s="102"/>
      <c r="BM523" s="102"/>
      <c r="BN523" s="102"/>
      <c r="BO523" s="102"/>
      <c r="BP523" s="102"/>
      <c r="BQ523" s="102"/>
      <c r="BR523" s="102"/>
      <c r="BS523" s="102"/>
      <c r="BT523" s="102"/>
      <c r="BU523" s="102"/>
    </row>
    <row r="524" spans="15:73"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  <c r="AS524" s="102"/>
      <c r="AT524" s="102"/>
      <c r="AU524" s="102"/>
      <c r="AV524" s="102"/>
      <c r="AW524" s="102"/>
      <c r="AX524" s="102"/>
      <c r="AY524" s="102"/>
      <c r="AZ524" s="102"/>
      <c r="BA524" s="102"/>
      <c r="BB524" s="102"/>
      <c r="BC524" s="102"/>
      <c r="BD524" s="102"/>
      <c r="BE524" s="102"/>
      <c r="BF524" s="102"/>
      <c r="BG524" s="102"/>
      <c r="BH524" s="102"/>
      <c r="BI524" s="102"/>
      <c r="BJ524" s="102"/>
      <c r="BK524" s="102"/>
      <c r="BL524" s="102"/>
      <c r="BM524" s="102"/>
      <c r="BN524" s="102"/>
      <c r="BO524" s="102"/>
      <c r="BP524" s="102"/>
      <c r="BQ524" s="102"/>
      <c r="BR524" s="102"/>
      <c r="BS524" s="102"/>
      <c r="BT524" s="102"/>
      <c r="BU524" s="102"/>
    </row>
    <row r="525" spans="15:73"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  <c r="AS525" s="102"/>
      <c r="AT525" s="102"/>
      <c r="AU525" s="102"/>
      <c r="AV525" s="102"/>
      <c r="AW525" s="102"/>
      <c r="AX525" s="102"/>
      <c r="AY525" s="102"/>
      <c r="AZ525" s="102"/>
      <c r="BA525" s="102"/>
      <c r="BB525" s="102"/>
      <c r="BC525" s="102"/>
      <c r="BD525" s="102"/>
      <c r="BE525" s="102"/>
      <c r="BF525" s="102"/>
      <c r="BG525" s="102"/>
      <c r="BH525" s="102"/>
      <c r="BI525" s="102"/>
      <c r="BJ525" s="102"/>
      <c r="BK525" s="102"/>
      <c r="BL525" s="102"/>
      <c r="BM525" s="102"/>
      <c r="BN525" s="102"/>
      <c r="BO525" s="102"/>
      <c r="BP525" s="102"/>
      <c r="BQ525" s="102"/>
      <c r="BR525" s="102"/>
      <c r="BS525" s="102"/>
      <c r="BT525" s="102"/>
      <c r="BU525" s="102"/>
    </row>
    <row r="526" spans="15:73"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  <c r="AS526" s="102"/>
      <c r="AT526" s="102"/>
      <c r="AU526" s="102"/>
      <c r="AV526" s="102"/>
      <c r="AW526" s="102"/>
      <c r="AX526" s="102"/>
      <c r="AY526" s="102"/>
      <c r="AZ526" s="102"/>
      <c r="BA526" s="102"/>
      <c r="BB526" s="102"/>
      <c r="BC526" s="102"/>
      <c r="BD526" s="102"/>
      <c r="BE526" s="102"/>
      <c r="BF526" s="102"/>
      <c r="BG526" s="102"/>
      <c r="BH526" s="102"/>
      <c r="BI526" s="102"/>
      <c r="BJ526" s="102"/>
      <c r="BK526" s="102"/>
      <c r="BL526" s="102"/>
      <c r="BM526" s="102"/>
      <c r="BN526" s="102"/>
      <c r="BO526" s="102"/>
      <c r="BP526" s="102"/>
      <c r="BQ526" s="102"/>
      <c r="BR526" s="102"/>
      <c r="BS526" s="102"/>
      <c r="BT526" s="102"/>
      <c r="BU526" s="102"/>
    </row>
    <row r="527" spans="15:73"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  <c r="BM527" s="102"/>
      <c r="BN527" s="102"/>
      <c r="BO527" s="102"/>
      <c r="BP527" s="102"/>
      <c r="BQ527" s="102"/>
      <c r="BR527" s="102"/>
      <c r="BS527" s="102"/>
      <c r="BT527" s="102"/>
      <c r="BU527" s="102"/>
    </row>
    <row r="528" spans="15:73"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2"/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  <c r="AS528" s="102"/>
      <c r="AT528" s="102"/>
      <c r="AU528" s="102"/>
      <c r="AV528" s="102"/>
      <c r="AW528" s="102"/>
      <c r="AX528" s="102"/>
      <c r="AY528" s="102"/>
      <c r="AZ528" s="102"/>
      <c r="BA528" s="102"/>
      <c r="BB528" s="102"/>
      <c r="BC528" s="102"/>
      <c r="BD528" s="102"/>
      <c r="BE528" s="102"/>
      <c r="BF528" s="102"/>
      <c r="BG528" s="102"/>
      <c r="BH528" s="102"/>
      <c r="BI528" s="102"/>
      <c r="BJ528" s="102"/>
      <c r="BK528" s="102"/>
      <c r="BL528" s="102"/>
      <c r="BM528" s="102"/>
      <c r="BN528" s="102"/>
      <c r="BO528" s="102"/>
      <c r="BP528" s="102"/>
      <c r="BQ528" s="102"/>
      <c r="BR528" s="102"/>
      <c r="BS528" s="102"/>
      <c r="BT528" s="102"/>
      <c r="BU528" s="102"/>
    </row>
    <row r="529" spans="15:73"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  <c r="AS529" s="102"/>
      <c r="AT529" s="102"/>
      <c r="AU529" s="102"/>
      <c r="AV529" s="102"/>
      <c r="AW529" s="102"/>
      <c r="AX529" s="102"/>
      <c r="AY529" s="102"/>
      <c r="AZ529" s="102"/>
      <c r="BA529" s="102"/>
      <c r="BB529" s="102"/>
      <c r="BC529" s="102"/>
      <c r="BD529" s="102"/>
      <c r="BE529" s="102"/>
      <c r="BF529" s="102"/>
      <c r="BG529" s="102"/>
      <c r="BH529" s="102"/>
      <c r="BI529" s="102"/>
      <c r="BJ529" s="102"/>
      <c r="BK529" s="102"/>
      <c r="BL529" s="102"/>
      <c r="BM529" s="102"/>
      <c r="BN529" s="102"/>
      <c r="BO529" s="102"/>
      <c r="BP529" s="102"/>
      <c r="BQ529" s="102"/>
      <c r="BR529" s="102"/>
      <c r="BS529" s="102"/>
      <c r="BT529" s="102"/>
      <c r="BU529" s="102"/>
    </row>
    <row r="530" spans="15:73"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  <c r="AS530" s="102"/>
      <c r="AT530" s="102"/>
      <c r="AU530" s="102"/>
      <c r="AV530" s="102"/>
      <c r="AW530" s="102"/>
      <c r="AX530" s="102"/>
      <c r="AY530" s="102"/>
      <c r="AZ530" s="102"/>
      <c r="BA530" s="102"/>
      <c r="BB530" s="102"/>
      <c r="BC530" s="102"/>
      <c r="BD530" s="102"/>
      <c r="BE530" s="102"/>
      <c r="BF530" s="102"/>
      <c r="BG530" s="102"/>
      <c r="BH530" s="102"/>
      <c r="BI530" s="102"/>
      <c r="BJ530" s="102"/>
      <c r="BK530" s="102"/>
      <c r="BL530" s="102"/>
      <c r="BM530" s="102"/>
      <c r="BN530" s="102"/>
      <c r="BO530" s="102"/>
      <c r="BP530" s="102"/>
      <c r="BQ530" s="102"/>
      <c r="BR530" s="102"/>
      <c r="BS530" s="102"/>
      <c r="BT530" s="102"/>
      <c r="BU530" s="102"/>
    </row>
    <row r="531" spans="15:73"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  <c r="AS531" s="102"/>
      <c r="AT531" s="102"/>
      <c r="AU531" s="102"/>
      <c r="AV531" s="102"/>
      <c r="AW531" s="102"/>
      <c r="AX531" s="102"/>
      <c r="AY531" s="102"/>
      <c r="AZ531" s="102"/>
      <c r="BA531" s="102"/>
      <c r="BB531" s="102"/>
      <c r="BC531" s="102"/>
      <c r="BD531" s="102"/>
      <c r="BE531" s="102"/>
      <c r="BF531" s="102"/>
      <c r="BG531" s="102"/>
      <c r="BH531" s="102"/>
      <c r="BI531" s="102"/>
      <c r="BJ531" s="102"/>
      <c r="BK531" s="102"/>
      <c r="BL531" s="102"/>
      <c r="BM531" s="102"/>
      <c r="BN531" s="102"/>
      <c r="BO531" s="102"/>
      <c r="BP531" s="102"/>
      <c r="BQ531" s="102"/>
      <c r="BR531" s="102"/>
      <c r="BS531" s="102"/>
      <c r="BT531" s="102"/>
      <c r="BU531" s="102"/>
    </row>
    <row r="532" spans="15:73"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  <c r="AS532" s="102"/>
      <c r="AT532" s="102"/>
      <c r="AU532" s="102"/>
      <c r="AV532" s="102"/>
      <c r="AW532" s="102"/>
      <c r="AX532" s="102"/>
      <c r="AY532" s="102"/>
      <c r="AZ532" s="102"/>
      <c r="BA532" s="102"/>
      <c r="BB532" s="102"/>
      <c r="BC532" s="102"/>
      <c r="BD532" s="102"/>
      <c r="BE532" s="102"/>
      <c r="BF532" s="102"/>
      <c r="BG532" s="102"/>
      <c r="BH532" s="102"/>
      <c r="BI532" s="102"/>
      <c r="BJ532" s="102"/>
      <c r="BK532" s="102"/>
      <c r="BL532" s="102"/>
      <c r="BM532" s="102"/>
      <c r="BN532" s="102"/>
      <c r="BO532" s="102"/>
      <c r="BP532" s="102"/>
      <c r="BQ532" s="102"/>
      <c r="BR532" s="102"/>
      <c r="BS532" s="102"/>
      <c r="BT532" s="102"/>
      <c r="BU532" s="102"/>
    </row>
    <row r="533" spans="15:73"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  <c r="AS533" s="102"/>
      <c r="AT533" s="102"/>
      <c r="AU533" s="102"/>
      <c r="AV533" s="102"/>
      <c r="AW533" s="102"/>
      <c r="AX533" s="102"/>
      <c r="AY533" s="102"/>
      <c r="AZ533" s="102"/>
      <c r="BA533" s="102"/>
      <c r="BB533" s="102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  <c r="BM533" s="102"/>
      <c r="BN533" s="102"/>
      <c r="BO533" s="102"/>
      <c r="BP533" s="102"/>
      <c r="BQ533" s="102"/>
      <c r="BR533" s="102"/>
      <c r="BS533" s="102"/>
      <c r="BT533" s="102"/>
      <c r="BU533" s="102"/>
    </row>
    <row r="534" spans="15:73"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  <c r="AS534" s="102"/>
      <c r="AT534" s="102"/>
      <c r="AU534" s="102"/>
      <c r="AV534" s="102"/>
      <c r="AW534" s="102"/>
      <c r="AX534" s="102"/>
      <c r="AY534" s="102"/>
      <c r="AZ534" s="102"/>
      <c r="BA534" s="102"/>
      <c r="BB534" s="102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  <c r="BM534" s="102"/>
      <c r="BN534" s="102"/>
      <c r="BO534" s="102"/>
      <c r="BP534" s="102"/>
      <c r="BQ534" s="102"/>
      <c r="BR534" s="102"/>
      <c r="BS534" s="102"/>
      <c r="BT534" s="102"/>
      <c r="BU534" s="102"/>
    </row>
    <row r="535" spans="15:73"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  <c r="AS535" s="102"/>
      <c r="AT535" s="102"/>
      <c r="AU535" s="102"/>
      <c r="AV535" s="102"/>
      <c r="AW535" s="102"/>
      <c r="AX535" s="102"/>
      <c r="AY535" s="102"/>
      <c r="AZ535" s="102"/>
      <c r="BA535" s="102"/>
      <c r="BB535" s="102"/>
      <c r="BC535" s="102"/>
      <c r="BD535" s="102"/>
      <c r="BE535" s="102"/>
      <c r="BF535" s="102"/>
      <c r="BG535" s="102"/>
      <c r="BH535" s="102"/>
      <c r="BI535" s="102"/>
      <c r="BJ535" s="102"/>
      <c r="BK535" s="102"/>
      <c r="BL535" s="102"/>
      <c r="BM535" s="102"/>
      <c r="BN535" s="102"/>
      <c r="BO535" s="102"/>
      <c r="BP535" s="102"/>
      <c r="BQ535" s="102"/>
      <c r="BR535" s="102"/>
      <c r="BS535" s="102"/>
      <c r="BT535" s="102"/>
      <c r="BU535" s="102"/>
    </row>
    <row r="536" spans="15:73"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  <c r="AS536" s="102"/>
      <c r="AT536" s="102"/>
      <c r="AU536" s="102"/>
      <c r="AV536" s="102"/>
      <c r="AW536" s="102"/>
      <c r="AX536" s="102"/>
      <c r="AY536" s="102"/>
      <c r="AZ536" s="102"/>
      <c r="BA536" s="102"/>
      <c r="BB536" s="102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  <c r="BM536" s="102"/>
      <c r="BN536" s="102"/>
      <c r="BO536" s="102"/>
      <c r="BP536" s="102"/>
      <c r="BQ536" s="102"/>
      <c r="BR536" s="102"/>
      <c r="BS536" s="102"/>
      <c r="BT536" s="102"/>
      <c r="BU536" s="102"/>
    </row>
    <row r="537" spans="15:73"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  <c r="AS537" s="102"/>
      <c r="AT537" s="102"/>
      <c r="AU537" s="102"/>
      <c r="AV537" s="102"/>
      <c r="AW537" s="102"/>
      <c r="AX537" s="102"/>
      <c r="AY537" s="102"/>
      <c r="AZ537" s="102"/>
      <c r="BA537" s="102"/>
      <c r="BB537" s="102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  <c r="BM537" s="102"/>
      <c r="BN537" s="102"/>
      <c r="BO537" s="102"/>
      <c r="BP537" s="102"/>
      <c r="BQ537" s="102"/>
      <c r="BR537" s="102"/>
      <c r="BS537" s="102"/>
      <c r="BT537" s="102"/>
      <c r="BU537" s="102"/>
    </row>
    <row r="538" spans="15:73"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  <c r="BM538" s="102"/>
      <c r="BN538" s="102"/>
      <c r="BO538" s="102"/>
      <c r="BP538" s="102"/>
      <c r="BQ538" s="102"/>
      <c r="BR538" s="102"/>
      <c r="BS538" s="102"/>
      <c r="BT538" s="102"/>
      <c r="BU538" s="102"/>
    </row>
    <row r="539" spans="15:73"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  <c r="AS539" s="102"/>
      <c r="AT539" s="102"/>
      <c r="AU539" s="102"/>
      <c r="AV539" s="102"/>
      <c r="AW539" s="102"/>
      <c r="AX539" s="102"/>
      <c r="AY539" s="102"/>
      <c r="AZ539" s="102"/>
      <c r="BA539" s="102"/>
      <c r="BB539" s="102"/>
      <c r="BC539" s="102"/>
      <c r="BD539" s="102"/>
      <c r="BE539" s="102"/>
      <c r="BF539" s="102"/>
      <c r="BG539" s="102"/>
      <c r="BH539" s="102"/>
      <c r="BI539" s="102"/>
      <c r="BJ539" s="102"/>
      <c r="BK539" s="102"/>
      <c r="BL539" s="102"/>
      <c r="BM539" s="102"/>
      <c r="BN539" s="102"/>
      <c r="BO539" s="102"/>
      <c r="BP539" s="102"/>
      <c r="BQ539" s="102"/>
      <c r="BR539" s="102"/>
      <c r="BS539" s="102"/>
      <c r="BT539" s="102"/>
      <c r="BU539" s="102"/>
    </row>
    <row r="540" spans="15:73"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  <c r="AS540" s="102"/>
      <c r="AT540" s="102"/>
      <c r="AU540" s="102"/>
      <c r="AV540" s="102"/>
      <c r="AW540" s="102"/>
      <c r="AX540" s="102"/>
      <c r="AY540" s="102"/>
      <c r="AZ540" s="102"/>
      <c r="BA540" s="102"/>
      <c r="BB540" s="102"/>
      <c r="BC540" s="102"/>
      <c r="BD540" s="102"/>
      <c r="BE540" s="102"/>
      <c r="BF540" s="102"/>
      <c r="BG540" s="102"/>
      <c r="BH540" s="102"/>
      <c r="BI540" s="102"/>
      <c r="BJ540" s="102"/>
      <c r="BK540" s="102"/>
      <c r="BL540" s="102"/>
      <c r="BM540" s="102"/>
      <c r="BN540" s="102"/>
      <c r="BO540" s="102"/>
      <c r="BP540" s="102"/>
      <c r="BQ540" s="102"/>
      <c r="BR540" s="102"/>
      <c r="BS540" s="102"/>
      <c r="BT540" s="102"/>
      <c r="BU540" s="102"/>
    </row>
    <row r="541" spans="15:73"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  <c r="AS541" s="102"/>
      <c r="AT541" s="102"/>
      <c r="AU541" s="102"/>
      <c r="AV541" s="102"/>
      <c r="AW541" s="102"/>
      <c r="AX541" s="102"/>
      <c r="AY541" s="102"/>
      <c r="AZ541" s="102"/>
      <c r="BA541" s="102"/>
      <c r="BB541" s="102"/>
      <c r="BC541" s="102"/>
      <c r="BD541" s="102"/>
      <c r="BE541" s="102"/>
      <c r="BF541" s="102"/>
      <c r="BG541" s="102"/>
      <c r="BH541" s="102"/>
      <c r="BI541" s="102"/>
      <c r="BJ541" s="102"/>
      <c r="BK541" s="102"/>
      <c r="BL541" s="102"/>
      <c r="BM541" s="102"/>
      <c r="BN541" s="102"/>
      <c r="BO541" s="102"/>
      <c r="BP541" s="102"/>
      <c r="BQ541" s="102"/>
      <c r="BR541" s="102"/>
      <c r="BS541" s="102"/>
      <c r="BT541" s="102"/>
      <c r="BU541" s="102"/>
    </row>
    <row r="542" spans="15:73"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102"/>
      <c r="AJ542" s="102"/>
      <c r="AK542" s="102"/>
      <c r="AL542" s="102"/>
      <c r="AM542" s="102"/>
      <c r="AN542" s="102"/>
      <c r="AO542" s="102"/>
      <c r="AP542" s="102"/>
      <c r="AQ542" s="102"/>
      <c r="AR542" s="102"/>
      <c r="AS542" s="102"/>
      <c r="AT542" s="102"/>
      <c r="AU542" s="102"/>
      <c r="AV542" s="102"/>
      <c r="AW542" s="102"/>
      <c r="AX542" s="102"/>
      <c r="AY542" s="102"/>
      <c r="AZ542" s="102"/>
      <c r="BA542" s="102"/>
      <c r="BB542" s="102"/>
      <c r="BC542" s="102"/>
      <c r="BD542" s="102"/>
      <c r="BE542" s="102"/>
      <c r="BF542" s="102"/>
      <c r="BG542" s="102"/>
      <c r="BH542" s="102"/>
      <c r="BI542" s="102"/>
      <c r="BJ542" s="102"/>
      <c r="BK542" s="102"/>
      <c r="BL542" s="102"/>
      <c r="BM542" s="102"/>
      <c r="BN542" s="102"/>
      <c r="BO542" s="102"/>
      <c r="BP542" s="102"/>
      <c r="BQ542" s="102"/>
      <c r="BR542" s="102"/>
      <c r="BS542" s="102"/>
      <c r="BT542" s="102"/>
      <c r="BU542" s="102"/>
    </row>
    <row r="543" spans="15:73"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102"/>
      <c r="AJ543" s="102"/>
      <c r="AK543" s="102"/>
      <c r="AL543" s="102"/>
      <c r="AM543" s="102"/>
      <c r="AN543" s="102"/>
      <c r="AO543" s="102"/>
      <c r="AP543" s="102"/>
      <c r="AQ543" s="102"/>
      <c r="AR543" s="102"/>
      <c r="AS543" s="102"/>
      <c r="AT543" s="102"/>
      <c r="AU543" s="102"/>
      <c r="AV543" s="102"/>
      <c r="AW543" s="102"/>
      <c r="AX543" s="102"/>
      <c r="AY543" s="102"/>
      <c r="AZ543" s="102"/>
      <c r="BA543" s="102"/>
      <c r="BB543" s="102"/>
      <c r="BC543" s="102"/>
      <c r="BD543" s="102"/>
      <c r="BE543" s="102"/>
      <c r="BF543" s="102"/>
      <c r="BG543" s="102"/>
      <c r="BH543" s="102"/>
      <c r="BI543" s="102"/>
      <c r="BJ543" s="102"/>
      <c r="BK543" s="102"/>
      <c r="BL543" s="102"/>
      <c r="BM543" s="102"/>
      <c r="BN543" s="102"/>
      <c r="BO543" s="102"/>
      <c r="BP543" s="102"/>
      <c r="BQ543" s="102"/>
      <c r="BR543" s="102"/>
      <c r="BS543" s="102"/>
      <c r="BT543" s="102"/>
      <c r="BU543" s="102"/>
    </row>
  </sheetData>
  <dataConsolidate link="1"/>
  <phoneticPr fontId="32" type="noConversion"/>
  <pageMargins left="0.75" right="0.75" top="1" bottom="1" header="0.5" footer="0.5"/>
  <pageSetup scale="5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39"/>
  <sheetViews>
    <sheetView showGridLines="0" zoomScale="70" zoomScaleNormal="70" workbookViewId="0"/>
  </sheetViews>
  <sheetFormatPr defaultColWidth="9.109375" defaultRowHeight="13.2"/>
  <cols>
    <col min="1" max="1" width="16" customWidth="1"/>
    <col min="2" max="2" width="12.33203125" bestFit="1" customWidth="1"/>
    <col min="3" max="3" width="13" bestFit="1" customWidth="1"/>
    <col min="4" max="4" width="11" bestFit="1" customWidth="1"/>
    <col min="5" max="5" width="11.5546875" bestFit="1" customWidth="1"/>
    <col min="6" max="6" width="1.6640625" customWidth="1"/>
    <col min="7" max="9" width="11.5546875" bestFit="1" customWidth="1"/>
    <col min="10" max="10" width="10.6640625" customWidth="1"/>
    <col min="11" max="11" width="13.5546875" customWidth="1"/>
    <col min="12" max="12" width="11.6640625" bestFit="1" customWidth="1"/>
  </cols>
  <sheetData>
    <row r="1" spans="1:12" ht="13.8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</row>
    <row r="2" spans="1:12" ht="13.8">
      <c r="A2" s="15"/>
      <c r="B2" s="164" t="s">
        <v>57</v>
      </c>
      <c r="C2" s="164"/>
      <c r="D2" s="164"/>
      <c r="E2" s="164"/>
      <c r="F2" s="15"/>
      <c r="G2" s="164" t="s">
        <v>58</v>
      </c>
      <c r="H2" s="164"/>
      <c r="I2" s="164"/>
      <c r="J2" s="15"/>
    </row>
    <row r="3" spans="1:12" ht="13.8">
      <c r="A3" s="15" t="s">
        <v>17</v>
      </c>
      <c r="B3" s="17" t="s">
        <v>20</v>
      </c>
      <c r="C3" s="20"/>
      <c r="D3" s="20"/>
      <c r="E3" s="20"/>
      <c r="F3" s="20"/>
      <c r="G3" s="20"/>
      <c r="H3" s="20"/>
      <c r="I3" s="20"/>
      <c r="J3" s="17" t="s">
        <v>59</v>
      </c>
    </row>
    <row r="4" spans="1:12" ht="13.8">
      <c r="A4" s="21" t="s">
        <v>60</v>
      </c>
      <c r="B4" s="23" t="s">
        <v>61</v>
      </c>
      <c r="C4" s="23" t="s">
        <v>26</v>
      </c>
      <c r="D4" s="23" t="s">
        <v>27</v>
      </c>
      <c r="E4" s="25" t="s">
        <v>62</v>
      </c>
      <c r="F4" s="24"/>
      <c r="G4" s="23" t="s">
        <v>63</v>
      </c>
      <c r="H4" s="23" t="s">
        <v>64</v>
      </c>
      <c r="I4" s="23" t="s">
        <v>62</v>
      </c>
      <c r="J4" s="23" t="s">
        <v>65</v>
      </c>
    </row>
    <row r="5" spans="1:12" ht="14.4">
      <c r="A5" s="15"/>
      <c r="B5" s="165" t="s">
        <v>66</v>
      </c>
      <c r="C5" s="165"/>
      <c r="D5" s="165"/>
      <c r="E5" s="165"/>
      <c r="F5" s="165"/>
      <c r="G5" s="165"/>
      <c r="H5" s="165"/>
      <c r="I5" s="165"/>
      <c r="J5" s="165"/>
    </row>
    <row r="6" spans="1:12" ht="13.8">
      <c r="A6" s="15" t="s">
        <v>34</v>
      </c>
      <c r="B6" s="42">
        <v>340.786</v>
      </c>
      <c r="C6" s="43">
        <f>C23</f>
        <v>51814.455000000002</v>
      </c>
      <c r="D6" s="43">
        <f>D23</f>
        <v>654.51012091299992</v>
      </c>
      <c r="E6" s="32">
        <f>E23</f>
        <v>52809.751120913003</v>
      </c>
      <c r="F6" s="43"/>
      <c r="G6" s="43">
        <f>G23</f>
        <v>38958.712443149998</v>
      </c>
      <c r="H6" s="43">
        <f>H23</f>
        <v>13540.111898224999</v>
      </c>
      <c r="I6" s="43">
        <f>I23</f>
        <v>52498.824231143997</v>
      </c>
      <c r="J6" s="43">
        <f>J22</f>
        <v>310.92700000000002</v>
      </c>
    </row>
    <row r="7" spans="1:12" ht="16.2">
      <c r="A7" s="15" t="s">
        <v>35</v>
      </c>
      <c r="B7" s="42">
        <f>J6</f>
        <v>310.92700000000002</v>
      </c>
      <c r="C7" s="43">
        <v>52564.07</v>
      </c>
      <c r="D7" s="43">
        <v>625</v>
      </c>
      <c r="E7" s="32">
        <f>SUM(B7:D7)</f>
        <v>53499.997000000003</v>
      </c>
      <c r="F7" s="43"/>
      <c r="G7" s="43">
        <v>38950</v>
      </c>
      <c r="H7" s="43">
        <v>14200</v>
      </c>
      <c r="I7" s="43">
        <f>G7+H7</f>
        <v>53150</v>
      </c>
      <c r="J7" s="43">
        <f>E7-I7</f>
        <v>349.99700000000303</v>
      </c>
    </row>
    <row r="8" spans="1:12" ht="16.2">
      <c r="A8" s="15" t="s">
        <v>36</v>
      </c>
      <c r="B8" s="42">
        <f>J7</f>
        <v>349.99700000000303</v>
      </c>
      <c r="C8" s="43">
        <v>54175</v>
      </c>
      <c r="D8" s="43">
        <v>600</v>
      </c>
      <c r="E8" s="32">
        <f>SUM(B8:D8)</f>
        <v>55124.997000000003</v>
      </c>
      <c r="F8" s="43"/>
      <c r="G8" s="43">
        <v>39725</v>
      </c>
      <c r="H8" s="43">
        <v>15000</v>
      </c>
      <c r="I8" s="43">
        <f>G8+H8</f>
        <v>54725</v>
      </c>
      <c r="J8" s="43">
        <f>E8-I8</f>
        <v>399.99700000000303</v>
      </c>
    </row>
    <row r="9" spans="1:12" ht="13.8">
      <c r="A9" s="15"/>
      <c r="B9" s="44"/>
      <c r="C9" s="44"/>
      <c r="D9" s="44"/>
      <c r="E9" s="44"/>
      <c r="F9" s="44"/>
      <c r="G9" s="43"/>
      <c r="H9" s="44"/>
      <c r="I9" s="44"/>
      <c r="J9" s="44"/>
    </row>
    <row r="10" spans="1:12" ht="13.8">
      <c r="A10" s="35" t="s">
        <v>34</v>
      </c>
      <c r="B10" s="45"/>
      <c r="C10" s="6"/>
      <c r="D10" s="6"/>
      <c r="E10" s="6"/>
      <c r="F10" s="6"/>
      <c r="G10" s="6"/>
      <c r="H10" s="6"/>
      <c r="I10" s="6"/>
      <c r="J10" s="6"/>
    </row>
    <row r="11" spans="1:12" ht="14.4">
      <c r="A11" s="15" t="s">
        <v>38</v>
      </c>
      <c r="B11" s="45">
        <f>B6</f>
        <v>340.786</v>
      </c>
      <c r="C11" s="6">
        <v>4591.6390000000001</v>
      </c>
      <c r="D11" s="6">
        <f>(56544.1*1.10231)/1000</f>
        <v>62.329126870999993</v>
      </c>
      <c r="E11" s="6">
        <f t="shared" ref="E11:E22" si="0">SUM(B11:D11)</f>
        <v>4994.7541268710002</v>
      </c>
      <c r="F11" s="6"/>
      <c r="G11" s="6">
        <f t="shared" ref="G11:G22" si="1">I11-H11</f>
        <v>3492.8224392370003</v>
      </c>
      <c r="H11" s="6">
        <f>(989241.4*1.10231)/1000</f>
        <v>1090.4506876339999</v>
      </c>
      <c r="I11" s="5">
        <f t="shared" ref="I11:I22" si="2">E11-J11</f>
        <v>4583.2731268710004</v>
      </c>
      <c r="J11" s="6">
        <v>411.48099999999999</v>
      </c>
      <c r="K11" s="103"/>
      <c r="L11" s="107"/>
    </row>
    <row r="12" spans="1:12" ht="14.4">
      <c r="A12" s="15" t="s">
        <v>39</v>
      </c>
      <c r="B12" s="45">
        <f t="shared" ref="B12:B19" si="3">J11</f>
        <v>411.48099999999999</v>
      </c>
      <c r="C12" s="6">
        <v>4456.7700000000004</v>
      </c>
      <c r="D12" s="6">
        <f>(33725.3*1.10231)/1000</f>
        <v>37.175735443000001</v>
      </c>
      <c r="E12" s="6">
        <f t="shared" si="0"/>
        <v>4905.4267354430003</v>
      </c>
      <c r="F12" s="6"/>
      <c r="G12" s="6">
        <f t="shared" si="1"/>
        <v>3282.1252583210003</v>
      </c>
      <c r="H12" s="6">
        <f>(1131886.2*1.10231)/1000</f>
        <v>1247.689477122</v>
      </c>
      <c r="I12" s="5">
        <f t="shared" si="2"/>
        <v>4529.8147354430002</v>
      </c>
      <c r="J12" s="6">
        <v>375.61200000000002</v>
      </c>
      <c r="K12" s="103"/>
      <c r="L12" s="107"/>
    </row>
    <row r="13" spans="1:12" ht="14.4">
      <c r="A13" s="15" t="s">
        <v>41</v>
      </c>
      <c r="B13" s="45">
        <f t="shared" si="3"/>
        <v>375.61200000000002</v>
      </c>
      <c r="C13" s="6">
        <v>4629.5519999999997</v>
      </c>
      <c r="D13" s="6">
        <f>(33571.6*1.10231)/1000</f>
        <v>37.006310395999996</v>
      </c>
      <c r="E13" s="6">
        <f t="shared" si="0"/>
        <v>5042.1703103959999</v>
      </c>
      <c r="F13" s="6"/>
      <c r="G13" s="6">
        <f t="shared" si="1"/>
        <v>3225.7453203929999</v>
      </c>
      <c r="H13" s="6">
        <f>(1274701.3*1.10231)/1000</f>
        <v>1405.115990003</v>
      </c>
      <c r="I13" s="5">
        <f t="shared" si="2"/>
        <v>4630.8613103959997</v>
      </c>
      <c r="J13" s="6">
        <v>411.30900000000003</v>
      </c>
      <c r="K13" s="103"/>
      <c r="L13" s="107"/>
    </row>
    <row r="14" spans="1:12" ht="14.4">
      <c r="A14" s="15" t="s">
        <v>42</v>
      </c>
      <c r="B14" s="45">
        <f t="shared" si="3"/>
        <v>411.30900000000003</v>
      </c>
      <c r="C14" s="6">
        <v>4533.1530000000002</v>
      </c>
      <c r="D14" s="6">
        <f>(40245.8*1.10231)/1000</f>
        <v>44.363347798</v>
      </c>
      <c r="E14" s="6">
        <f t="shared" si="0"/>
        <v>4988.8253477980006</v>
      </c>
      <c r="F14" s="6"/>
      <c r="G14" s="6">
        <f t="shared" si="1"/>
        <v>3261.1777285130011</v>
      </c>
      <c r="H14" s="6">
        <f>(1176523.5*1.10231)/1000</f>
        <v>1296.8936192849999</v>
      </c>
      <c r="I14" s="5">
        <f t="shared" si="2"/>
        <v>4558.0713477980007</v>
      </c>
      <c r="J14" s="6">
        <v>430.75400000000002</v>
      </c>
      <c r="K14" s="103"/>
      <c r="L14" s="107"/>
    </row>
    <row r="15" spans="1:12" ht="14.4">
      <c r="A15" s="15" t="s">
        <v>43</v>
      </c>
      <c r="B15" s="45">
        <f t="shared" si="3"/>
        <v>430.75400000000002</v>
      </c>
      <c r="C15" s="6">
        <v>4089.9549999999999</v>
      </c>
      <c r="D15" s="6">
        <f>(46708.1*1.10231)/1000</f>
        <v>51.486805710999995</v>
      </c>
      <c r="E15" s="6">
        <f t="shared" si="0"/>
        <v>4572.1958057109996</v>
      </c>
      <c r="F15" s="6"/>
      <c r="G15" s="6">
        <f t="shared" si="1"/>
        <v>3111.5948929989995</v>
      </c>
      <c r="H15" s="6">
        <f>(974975.2*1.10231)/1000</f>
        <v>1074.7249127119999</v>
      </c>
      <c r="I15" s="5">
        <f t="shared" si="2"/>
        <v>4186.3198057109994</v>
      </c>
      <c r="J15" s="6">
        <v>385.87600000000003</v>
      </c>
      <c r="K15" s="103"/>
      <c r="L15" s="107"/>
    </row>
    <row r="16" spans="1:12" ht="14.4">
      <c r="A16" s="15" t="s">
        <v>45</v>
      </c>
      <c r="B16" s="45">
        <f t="shared" si="3"/>
        <v>385.87600000000003</v>
      </c>
      <c r="C16" s="6">
        <v>4549.6310000000003</v>
      </c>
      <c r="D16" s="6">
        <f>(36595.5*1.10231)/1000</f>
        <v>40.339585604999996</v>
      </c>
      <c r="E16" s="6">
        <f t="shared" si="0"/>
        <v>4975.8465856050007</v>
      </c>
      <c r="F16" s="6"/>
      <c r="G16" s="6">
        <f t="shared" si="1"/>
        <v>3358.6433219240007</v>
      </c>
      <c r="H16" s="6">
        <f>(1121495.1*1.10231)/1000</f>
        <v>1236.2352636810001</v>
      </c>
      <c r="I16" s="5">
        <f t="shared" si="2"/>
        <v>4594.8785856050008</v>
      </c>
      <c r="J16" s="6">
        <v>380.96799999999996</v>
      </c>
      <c r="K16" s="103"/>
      <c r="L16" s="107"/>
    </row>
    <row r="17" spans="1:12" ht="14.4">
      <c r="A17" s="15" t="s">
        <v>46</v>
      </c>
      <c r="B17" s="45">
        <f t="shared" si="3"/>
        <v>380.96799999999996</v>
      </c>
      <c r="C17" s="6">
        <v>4254.5450000000001</v>
      </c>
      <c r="D17" s="6">
        <f>(43906*1.10231)/1000</f>
        <v>48.398022859999998</v>
      </c>
      <c r="E17" s="6">
        <f t="shared" si="0"/>
        <v>4683.9110228600002</v>
      </c>
      <c r="F17" s="6"/>
      <c r="G17" s="6">
        <f t="shared" si="1"/>
        <v>3059.0861262310009</v>
      </c>
      <c r="H17" s="6">
        <f>(1070305.9*1.10231)/1000</f>
        <v>1179.8088966289999</v>
      </c>
      <c r="I17" s="5">
        <f t="shared" si="2"/>
        <v>4238.8950228600006</v>
      </c>
      <c r="J17" s="6">
        <v>445.01600000000002</v>
      </c>
      <c r="K17" s="103"/>
      <c r="L17" s="107"/>
    </row>
    <row r="18" spans="1:12" ht="14.4">
      <c r="A18" s="15" t="s">
        <v>47</v>
      </c>
      <c r="B18" s="45">
        <f t="shared" si="3"/>
        <v>445.01600000000002</v>
      </c>
      <c r="C18" s="6">
        <v>4260.0889999999999</v>
      </c>
      <c r="D18" s="108">
        <f>(77175.9*1.10231)/1000</f>
        <v>85.071766328999985</v>
      </c>
      <c r="E18" s="6">
        <f t="shared" si="0"/>
        <v>4790.1767663289993</v>
      </c>
      <c r="F18" s="6"/>
      <c r="G18" s="6">
        <f t="shared" si="1"/>
        <v>3205.4898923439991</v>
      </c>
      <c r="H18" s="108">
        <f>(1016893.5*1.10231)/1000</f>
        <v>1120.931873985</v>
      </c>
      <c r="I18" s="5">
        <f t="shared" si="2"/>
        <v>4326.4217663289992</v>
      </c>
      <c r="J18" s="6">
        <v>463.755</v>
      </c>
      <c r="K18" s="103"/>
      <c r="L18" s="107"/>
    </row>
    <row r="19" spans="1:12" ht="14.4">
      <c r="A19" s="15" t="s">
        <v>49</v>
      </c>
      <c r="B19" s="45">
        <f t="shared" si="3"/>
        <v>463.755</v>
      </c>
      <c r="C19" s="6">
        <v>4106.5650000000005</v>
      </c>
      <c r="D19" s="108">
        <f>(61421.4*1.10231)/1000</f>
        <v>67.705423433999997</v>
      </c>
      <c r="E19" s="6">
        <f t="shared" si="0"/>
        <v>4638.0254234340009</v>
      </c>
      <c r="F19" s="6"/>
      <c r="G19" s="6">
        <f t="shared" si="1"/>
        <v>3118.3433548350013</v>
      </c>
      <c r="H19" s="108">
        <f>(1054492.9*1.10231)/1000</f>
        <v>1162.3780685989998</v>
      </c>
      <c r="I19" s="5">
        <f t="shared" si="2"/>
        <v>4280.7214234340008</v>
      </c>
      <c r="J19" s="6">
        <v>357.30399999999997</v>
      </c>
      <c r="K19" s="103"/>
    </row>
    <row r="20" spans="1:12" ht="14.4">
      <c r="A20" s="15" t="s">
        <v>50</v>
      </c>
      <c r="B20" s="45">
        <f>J19</f>
        <v>357.30399999999997</v>
      </c>
      <c r="C20" s="6">
        <v>4270.28</v>
      </c>
      <c r="D20" s="108">
        <f>(67308.7*1.10231)/1000</f>
        <v>74.195053096999999</v>
      </c>
      <c r="E20" s="6">
        <f t="shared" si="0"/>
        <v>4701.7790530969996</v>
      </c>
      <c r="F20" s="6"/>
      <c r="G20" s="6">
        <f t="shared" si="1"/>
        <v>3245.3890736799999</v>
      </c>
      <c r="H20" s="108">
        <f>(843380.7*1.10231)/1000</f>
        <v>929.66697941699988</v>
      </c>
      <c r="I20" s="5">
        <f t="shared" si="2"/>
        <v>4175.0560530969997</v>
      </c>
      <c r="J20" s="6">
        <v>526.72299999999996</v>
      </c>
      <c r="K20" s="103"/>
    </row>
    <row r="21" spans="1:12" ht="14.4">
      <c r="A21" s="15" t="s">
        <v>51</v>
      </c>
      <c r="B21" s="45">
        <f>J20</f>
        <v>526.72299999999996</v>
      </c>
      <c r="C21" s="6">
        <v>4147.2370000000001</v>
      </c>
      <c r="D21" s="108">
        <f>(45440.9*1.10231)/1000</f>
        <v>50.089958478999996</v>
      </c>
      <c r="E21" s="6">
        <f t="shared" si="0"/>
        <v>4724.0499584790005</v>
      </c>
      <c r="F21" s="6"/>
      <c r="G21" s="6">
        <f t="shared" si="1"/>
        <v>3479.0613874090009</v>
      </c>
      <c r="H21" s="108">
        <f>(813797*1.10231)/1000</f>
        <v>897.0565710699999</v>
      </c>
      <c r="I21" s="5">
        <f t="shared" si="2"/>
        <v>4376.1179584790007</v>
      </c>
      <c r="J21" s="6">
        <v>347.93200000000002</v>
      </c>
      <c r="K21" s="103"/>
    </row>
    <row r="22" spans="1:12" ht="14.4">
      <c r="A22" s="15" t="s">
        <v>37</v>
      </c>
      <c r="B22" s="45">
        <f>J21</f>
        <v>347.93200000000002</v>
      </c>
      <c r="C22" s="6">
        <v>3925.0389999999998</v>
      </c>
      <c r="D22" s="108">
        <f>(51119.1*1.10231)/1000</f>
        <v>56.349095120999991</v>
      </c>
      <c r="E22" s="6">
        <f t="shared" si="0"/>
        <v>4329.3200951209992</v>
      </c>
      <c r="F22" s="6"/>
      <c r="G22" s="6">
        <f t="shared" si="1"/>
        <v>3119.233647263999</v>
      </c>
      <c r="H22" s="108">
        <f>(815704.7*1.10231)/1000</f>
        <v>899.1594478569998</v>
      </c>
      <c r="I22" s="5">
        <f t="shared" si="2"/>
        <v>4018.3930951209991</v>
      </c>
      <c r="J22" s="6">
        <v>310.92700000000002</v>
      </c>
      <c r="K22" s="111"/>
    </row>
    <row r="23" spans="1:12" ht="14.4">
      <c r="A23" s="15" t="s">
        <v>28</v>
      </c>
      <c r="B23" s="45"/>
      <c r="C23" s="6">
        <f>SUM(C11:C22)</f>
        <v>51814.455000000002</v>
      </c>
      <c r="D23" s="6">
        <f>(593762.3*1.10231)/1000</f>
        <v>654.51012091299992</v>
      </c>
      <c r="E23" s="6">
        <f>B11+C23+D23</f>
        <v>52809.751120913003</v>
      </c>
      <c r="F23" s="6"/>
      <c r="G23" s="6">
        <f>SUM(G11:G22)</f>
        <v>38958.712443149998</v>
      </c>
      <c r="H23" s="32">
        <f>(12283397.5*1.10231)/1000</f>
        <v>13540.111898224999</v>
      </c>
      <c r="I23" s="6">
        <f>SUM(I11:I22)</f>
        <v>52498.824231143997</v>
      </c>
      <c r="J23" s="6"/>
      <c r="K23" s="103"/>
    </row>
    <row r="24" spans="1:12" ht="14.4">
      <c r="A24" s="15"/>
      <c r="B24" s="45"/>
      <c r="C24" s="6"/>
      <c r="D24" s="6"/>
      <c r="E24" s="6"/>
      <c r="F24" s="6"/>
      <c r="G24" s="6"/>
      <c r="H24" s="6"/>
      <c r="I24" s="6"/>
      <c r="J24" s="6"/>
      <c r="K24" s="103"/>
    </row>
    <row r="25" spans="1:12" ht="14.4">
      <c r="A25" s="35" t="s">
        <v>53</v>
      </c>
      <c r="B25" s="45"/>
      <c r="C25" s="6"/>
      <c r="D25" s="6"/>
      <c r="E25" s="6"/>
      <c r="F25" s="6"/>
      <c r="G25" s="6"/>
      <c r="H25" s="6"/>
      <c r="I25" s="6"/>
      <c r="J25" s="6"/>
      <c r="K25" s="103"/>
    </row>
    <row r="26" spans="1:12" ht="14.4">
      <c r="A26" s="15" t="s">
        <v>38</v>
      </c>
      <c r="B26" s="45">
        <f>J22</f>
        <v>310.92700000000002</v>
      </c>
      <c r="C26" s="6">
        <v>4603.3959999999997</v>
      </c>
      <c r="D26" s="6">
        <f>(52509.6*1.10231)/1000</f>
        <v>57.88185717599999</v>
      </c>
      <c r="E26" s="6">
        <f t="shared" ref="E26:E34" si="4">SUM(B26:D26)</f>
        <v>4972.2048571759997</v>
      </c>
      <c r="F26" s="6"/>
      <c r="G26" s="6">
        <f t="shared" ref="G26:G34" si="5">I26-H26</f>
        <v>3639.9264505289998</v>
      </c>
      <c r="H26" s="6">
        <f>(865513.7*1.10231)/1000</f>
        <v>954.06440664699983</v>
      </c>
      <c r="I26" s="5">
        <f t="shared" ref="I26:I34" si="6">E26-J26</f>
        <v>4593.9908571759997</v>
      </c>
      <c r="J26" s="6">
        <v>378.214</v>
      </c>
      <c r="K26" s="103"/>
    </row>
    <row r="27" spans="1:12" ht="14.4">
      <c r="A27" s="15" t="s">
        <v>39</v>
      </c>
      <c r="B27" s="45">
        <f t="shared" ref="B27:B32" si="7">J26</f>
        <v>378.214</v>
      </c>
      <c r="C27" s="6">
        <v>4469.9660000000003</v>
      </c>
      <c r="D27" s="6">
        <f>(53341.5*1.10231)/1000</f>
        <v>58.798868864999996</v>
      </c>
      <c r="E27" s="6">
        <f t="shared" si="4"/>
        <v>4906.9788688650005</v>
      </c>
      <c r="F27" s="6"/>
      <c r="G27" s="6">
        <f t="shared" si="5"/>
        <v>3367.700833154001</v>
      </c>
      <c r="H27" s="6">
        <f>(1079708.1*1.10231)/1000</f>
        <v>1190.173035711</v>
      </c>
      <c r="I27" s="5">
        <f t="shared" si="6"/>
        <v>4557.873868865001</v>
      </c>
      <c r="J27" s="6">
        <v>349.10500000000002</v>
      </c>
      <c r="K27" s="103"/>
    </row>
    <row r="28" spans="1:12" ht="14.4">
      <c r="A28" s="15" t="s">
        <v>41</v>
      </c>
      <c r="B28" s="45">
        <f t="shared" si="7"/>
        <v>349.10500000000002</v>
      </c>
      <c r="C28" s="6">
        <v>4437.4089999999997</v>
      </c>
      <c r="D28" s="6">
        <f>(32194.3*1.10231)/1000</f>
        <v>35.488098832999995</v>
      </c>
      <c r="E28" s="6">
        <f t="shared" si="4"/>
        <v>4822.0020988329989</v>
      </c>
      <c r="F28" s="6"/>
      <c r="G28" s="6">
        <f t="shared" si="5"/>
        <v>3173.9462998459985</v>
      </c>
      <c r="H28" s="6">
        <f>(1081527.7*1.10231)/1000</f>
        <v>1192.1787989869997</v>
      </c>
      <c r="I28" s="5">
        <f t="shared" si="6"/>
        <v>4366.1250988329984</v>
      </c>
      <c r="J28" s="6">
        <v>455.87700000000001</v>
      </c>
      <c r="K28" s="103"/>
    </row>
    <row r="29" spans="1:12" ht="14.4">
      <c r="A29" s="15" t="s">
        <v>42</v>
      </c>
      <c r="B29" s="45">
        <f t="shared" si="7"/>
        <v>455.87700000000001</v>
      </c>
      <c r="C29" s="6">
        <v>4540.9090000000006</v>
      </c>
      <c r="D29" s="6">
        <f>(87357.8*1.10231)/1000</f>
        <v>96.295376517999983</v>
      </c>
      <c r="E29" s="6">
        <f t="shared" si="4"/>
        <v>5093.081376518001</v>
      </c>
      <c r="F29" s="6"/>
      <c r="G29" s="6">
        <f t="shared" si="5"/>
        <v>3101.8863894670012</v>
      </c>
      <c r="H29" s="6">
        <f>(1404622.1*1.10231)/1000</f>
        <v>1548.3289870509998</v>
      </c>
      <c r="I29" s="5">
        <f t="shared" si="6"/>
        <v>4650.215376518001</v>
      </c>
      <c r="J29" s="6">
        <v>442.86599999999999</v>
      </c>
      <c r="K29" s="103"/>
    </row>
    <row r="30" spans="1:12" ht="13.8">
      <c r="A30" s="15" t="s">
        <v>43</v>
      </c>
      <c r="B30" s="45">
        <f t="shared" si="7"/>
        <v>442.86599999999999</v>
      </c>
      <c r="C30" s="6">
        <v>4197.5839999999998</v>
      </c>
      <c r="D30" s="6">
        <f>(40187.2*1.10231)/1000</f>
        <v>44.298752431999993</v>
      </c>
      <c r="E30" s="6">
        <f t="shared" si="4"/>
        <v>4684.7487524319995</v>
      </c>
      <c r="F30" s="6"/>
      <c r="G30" s="6">
        <f t="shared" si="5"/>
        <v>3189.261751647</v>
      </c>
      <c r="H30" s="6">
        <f>(925173.5*1.10231)/1000</f>
        <v>1019.828000785</v>
      </c>
      <c r="I30" s="5">
        <f t="shared" si="6"/>
        <v>4209.0897524319998</v>
      </c>
      <c r="J30" s="6">
        <v>475.65899999999999</v>
      </c>
      <c r="K30" s="122"/>
    </row>
    <row r="31" spans="1:12" ht="14.4">
      <c r="A31" s="15" t="s">
        <v>45</v>
      </c>
      <c r="B31" s="45">
        <f t="shared" si="7"/>
        <v>475.65899999999999</v>
      </c>
      <c r="C31" s="6">
        <v>4698.1610000000001</v>
      </c>
      <c r="D31" s="6">
        <f>(43410.1*1.10231)/1000</f>
        <v>47.851387330999991</v>
      </c>
      <c r="E31" s="6">
        <f t="shared" si="4"/>
        <v>5221.671387331</v>
      </c>
      <c r="F31" s="6"/>
      <c r="G31" s="6">
        <f t="shared" si="5"/>
        <v>3369.7769356149997</v>
      </c>
      <c r="H31" s="6">
        <f>(1336143.6*1.10231)/1000</f>
        <v>1472.8444517160001</v>
      </c>
      <c r="I31" s="5">
        <f t="shared" si="6"/>
        <v>4842.6213873309998</v>
      </c>
      <c r="J31" s="6">
        <v>379.04999999999995</v>
      </c>
      <c r="K31" s="123"/>
    </row>
    <row r="32" spans="1:12" ht="14.4">
      <c r="A32" s="15" t="s">
        <v>46</v>
      </c>
      <c r="B32" s="45">
        <f t="shared" si="7"/>
        <v>379.04999999999995</v>
      </c>
      <c r="C32" s="6">
        <v>4433.6350000000002</v>
      </c>
      <c r="D32" s="6">
        <f>(25951.8*1.10231)/1000</f>
        <v>28.606928657999998</v>
      </c>
      <c r="E32" s="6">
        <f t="shared" si="4"/>
        <v>4841.291928658</v>
      </c>
      <c r="F32" s="6"/>
      <c r="G32" s="6">
        <f t="shared" si="5"/>
        <v>3019.334526696</v>
      </c>
      <c r="H32" s="6">
        <f>(1128650.2*1.10231)/1000</f>
        <v>1244.1224019619999</v>
      </c>
      <c r="I32" s="5">
        <f t="shared" si="6"/>
        <v>4263.4569286579999</v>
      </c>
      <c r="J32" s="6">
        <v>577.83499999999992</v>
      </c>
      <c r="K32" s="123"/>
    </row>
    <row r="33" spans="1:11" ht="14.4">
      <c r="A33" s="15" t="s">
        <v>47</v>
      </c>
      <c r="B33" s="45">
        <f>J32</f>
        <v>577.83499999999992</v>
      </c>
      <c r="C33" s="6">
        <v>4461.268</v>
      </c>
      <c r="D33" s="6">
        <f>(50047.9*1.10231)/1000</f>
        <v>55.168300648999995</v>
      </c>
      <c r="E33" s="6">
        <f t="shared" si="4"/>
        <v>5094.2713006490003</v>
      </c>
      <c r="F33" s="6"/>
      <c r="G33" s="6">
        <f t="shared" si="5"/>
        <v>3474.6210888970008</v>
      </c>
      <c r="H33" s="6">
        <f>(1080559.2*1.10231)/1000</f>
        <v>1191.1112117519997</v>
      </c>
      <c r="I33" s="5">
        <f t="shared" si="6"/>
        <v>4665.7323006490005</v>
      </c>
      <c r="J33" s="6">
        <v>428.53899999999999</v>
      </c>
      <c r="K33" s="123"/>
    </row>
    <row r="34" spans="1:11" ht="14.4">
      <c r="A34" s="14" t="s">
        <v>49</v>
      </c>
      <c r="B34" s="46">
        <f>J33</f>
        <v>428.53899999999999</v>
      </c>
      <c r="C34" s="136">
        <v>4152.3280000000004</v>
      </c>
      <c r="D34" s="136">
        <f>(47135.7*1.10231)/1000</f>
        <v>51.958153466999988</v>
      </c>
      <c r="E34" s="136">
        <f t="shared" si="4"/>
        <v>4632.8251534669998</v>
      </c>
      <c r="F34" s="136"/>
      <c r="G34" s="136">
        <f t="shared" si="5"/>
        <v>2878.4011494959996</v>
      </c>
      <c r="H34" s="136">
        <f>(1259954.1*1.10231)/1000</f>
        <v>1388.860003971</v>
      </c>
      <c r="I34" s="51">
        <f t="shared" si="6"/>
        <v>4267.2611534669995</v>
      </c>
      <c r="J34" s="136">
        <v>365.56400000000002</v>
      </c>
      <c r="K34" s="123"/>
    </row>
    <row r="35" spans="1:11" ht="16.2">
      <c r="A35" s="47" t="s">
        <v>67</v>
      </c>
      <c r="B35" s="15"/>
      <c r="C35" s="15"/>
      <c r="D35" s="15"/>
      <c r="E35" s="15"/>
      <c r="F35" s="15"/>
      <c r="G35" s="15"/>
      <c r="H35" s="15"/>
      <c r="I35" s="15"/>
      <c r="J35" s="15"/>
    </row>
    <row r="36" spans="1:11" ht="14.4">
      <c r="A36" s="15" t="s">
        <v>68</v>
      </c>
      <c r="B36" s="15"/>
      <c r="C36" s="15"/>
      <c r="D36" s="15"/>
      <c r="E36" s="15"/>
      <c r="F36" s="15"/>
      <c r="G36" s="15"/>
      <c r="H36" s="15"/>
      <c r="I36" s="15"/>
      <c r="J36" s="15"/>
    </row>
    <row r="37" spans="1:11" ht="13.8">
      <c r="A37" s="20" t="s">
        <v>56</v>
      </c>
      <c r="B37" s="41">
        <f>Contents!A16</f>
        <v>45153</v>
      </c>
      <c r="C37" s="38"/>
      <c r="D37" s="33"/>
      <c r="E37" s="33"/>
      <c r="F37" s="33"/>
      <c r="G37" s="33"/>
      <c r="H37" s="33"/>
      <c r="I37" s="33"/>
      <c r="J37" s="33"/>
    </row>
    <row r="38" spans="1:11">
      <c r="B38" s="48"/>
      <c r="C38" s="49"/>
      <c r="D38" s="48"/>
      <c r="E38" s="100"/>
      <c r="F38" s="48"/>
      <c r="G38" s="48"/>
      <c r="H38" s="50"/>
      <c r="I38" s="100"/>
      <c r="J38" s="48"/>
    </row>
    <row r="39" spans="1:11">
      <c r="B39" s="48"/>
      <c r="C39" s="48"/>
      <c r="D39" s="48"/>
      <c r="E39" s="48"/>
      <c r="F39" s="48"/>
      <c r="G39" s="48"/>
      <c r="H39" s="48"/>
      <c r="I39" s="48"/>
      <c r="J39" s="48"/>
    </row>
  </sheetData>
  <mergeCells count="3">
    <mergeCell ref="G2:I2"/>
    <mergeCell ref="B5:J5"/>
    <mergeCell ref="B2:E2"/>
  </mergeCells>
  <phoneticPr fontId="32" type="noConversion"/>
  <pageMargins left="0.75" right="0.75" top="1" bottom="1" header="0.5" footer="0.5"/>
  <pageSetup scale="85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N38"/>
  <sheetViews>
    <sheetView showGridLines="0" zoomScale="70" zoomScaleNormal="70" workbookViewId="0">
      <selection activeCell="G44" sqref="G44"/>
    </sheetView>
  </sheetViews>
  <sheetFormatPr defaultColWidth="9.109375" defaultRowHeight="13.2"/>
  <cols>
    <col min="1" max="1" width="15.44140625" customWidth="1"/>
    <col min="2" max="2" width="12.33203125" bestFit="1" customWidth="1"/>
    <col min="3" max="3" width="12.109375" bestFit="1" customWidth="1"/>
    <col min="4" max="4" width="11" bestFit="1" customWidth="1"/>
    <col min="5" max="5" width="11.33203125" bestFit="1" customWidth="1"/>
    <col min="6" max="6" width="3.6640625" customWidth="1"/>
    <col min="7" max="7" width="11.5546875" bestFit="1" customWidth="1"/>
    <col min="8" max="8" width="12.33203125" customWidth="1"/>
    <col min="9" max="9" width="12.6640625" customWidth="1"/>
    <col min="10" max="10" width="9.6640625" bestFit="1" customWidth="1"/>
    <col min="11" max="11" width="11.5546875" bestFit="1" customWidth="1"/>
    <col min="12" max="12" width="12.5546875" bestFit="1" customWidth="1"/>
    <col min="14" max="14" width="11.109375" customWidth="1"/>
  </cols>
  <sheetData>
    <row r="1" spans="1:14" ht="13.8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4" ht="13.8">
      <c r="A2" s="15"/>
      <c r="B2" s="164" t="s">
        <v>57</v>
      </c>
      <c r="C2" s="164"/>
      <c r="D2" s="164"/>
      <c r="E2" s="164"/>
      <c r="F2" s="15"/>
      <c r="G2" s="164" t="s">
        <v>58</v>
      </c>
      <c r="H2" s="164"/>
      <c r="I2" s="164"/>
      <c r="J2" s="162"/>
      <c r="K2" s="162"/>
      <c r="L2" s="15"/>
    </row>
    <row r="3" spans="1:14" ht="13.8">
      <c r="A3" s="15" t="s">
        <v>17</v>
      </c>
      <c r="B3" s="17" t="s">
        <v>69</v>
      </c>
      <c r="C3" s="17" t="s">
        <v>26</v>
      </c>
      <c r="D3" s="17" t="s">
        <v>70</v>
      </c>
      <c r="E3" s="17" t="s">
        <v>62</v>
      </c>
      <c r="F3" s="17"/>
      <c r="G3" s="162" t="s">
        <v>63</v>
      </c>
      <c r="H3" s="162"/>
      <c r="I3" s="162"/>
      <c r="J3" s="17" t="s">
        <v>71</v>
      </c>
      <c r="K3" s="17" t="s">
        <v>62</v>
      </c>
      <c r="L3" s="17" t="s">
        <v>59</v>
      </c>
    </row>
    <row r="4" spans="1:14" ht="16.2">
      <c r="A4" s="21" t="s">
        <v>60</v>
      </c>
      <c r="B4" s="23" t="s">
        <v>61</v>
      </c>
      <c r="C4" s="24"/>
      <c r="D4" s="24"/>
      <c r="E4" s="24"/>
      <c r="F4" s="24"/>
      <c r="G4" s="23" t="s">
        <v>28</v>
      </c>
      <c r="H4" s="23" t="s">
        <v>72</v>
      </c>
      <c r="I4" s="23" t="s">
        <v>73</v>
      </c>
      <c r="J4" s="24"/>
      <c r="K4" s="24"/>
      <c r="L4" s="17" t="s">
        <v>65</v>
      </c>
    </row>
    <row r="5" spans="1:14" ht="14.4">
      <c r="A5" s="15"/>
      <c r="B5" s="166" t="s">
        <v>74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</row>
    <row r="6" spans="1:14" ht="16.2">
      <c r="A6" s="15" t="s">
        <v>75</v>
      </c>
      <c r="B6" s="44">
        <v>2131.2330000000002</v>
      </c>
      <c r="C6" s="44">
        <f>C23</f>
        <v>26155.173000000003</v>
      </c>
      <c r="D6" s="44">
        <f>D23</f>
        <v>302.9653281816</v>
      </c>
      <c r="E6" s="44">
        <f>E23</f>
        <v>28589.371328181602</v>
      </c>
      <c r="F6" s="44"/>
      <c r="G6" s="44">
        <f>K6-J6</f>
        <v>24827.303827434</v>
      </c>
      <c r="H6" s="44">
        <v>10348.19</v>
      </c>
      <c r="I6" s="32">
        <f>G6-H6</f>
        <v>14479.113827433999</v>
      </c>
      <c r="J6" s="44">
        <f>J23</f>
        <v>1770.9195007476001</v>
      </c>
      <c r="K6" s="44">
        <f>E6-L6</f>
        <v>26598.223328181601</v>
      </c>
      <c r="L6" s="44">
        <f>L22</f>
        <v>1991.1480000000001</v>
      </c>
    </row>
    <row r="7" spans="1:14" ht="16.2">
      <c r="A7" s="15" t="s">
        <v>76</v>
      </c>
      <c r="B7" s="44">
        <f>L6</f>
        <v>1991.1480000000001</v>
      </c>
      <c r="C7" s="44">
        <v>26265</v>
      </c>
      <c r="D7" s="44">
        <v>375</v>
      </c>
      <c r="E7" s="44">
        <f>SUM(B7:D7)</f>
        <v>28631.148000000001</v>
      </c>
      <c r="F7" s="44"/>
      <c r="G7" s="44">
        <f>SUM(H7:I7)</f>
        <v>26350</v>
      </c>
      <c r="H7" s="44">
        <v>11700</v>
      </c>
      <c r="I7" s="32">
        <v>14650</v>
      </c>
      <c r="J7" s="44">
        <v>400</v>
      </c>
      <c r="K7" s="44">
        <f>G7+J7</f>
        <v>26750</v>
      </c>
      <c r="L7" s="44">
        <f>E7-K7</f>
        <v>1881.148000000001</v>
      </c>
    </row>
    <row r="8" spans="1:14" ht="16.2">
      <c r="A8" s="15" t="s">
        <v>36</v>
      </c>
      <c r="B8" s="44">
        <f>L7</f>
        <v>1881.148000000001</v>
      </c>
      <c r="C8" s="44">
        <v>27025</v>
      </c>
      <c r="D8" s="44">
        <v>375</v>
      </c>
      <c r="E8" s="44">
        <f>SUM(B8:D8)</f>
        <v>29281.148000000001</v>
      </c>
      <c r="F8" s="44"/>
      <c r="G8" s="44">
        <f>SUM(H8:I8)</f>
        <v>27050</v>
      </c>
      <c r="H8" s="44">
        <v>12500</v>
      </c>
      <c r="I8" s="32">
        <v>14550</v>
      </c>
      <c r="J8" s="44">
        <v>400</v>
      </c>
      <c r="K8" s="44">
        <f>G8+J8</f>
        <v>27450</v>
      </c>
      <c r="L8" s="44">
        <f>E8-K8</f>
        <v>1831.148000000001</v>
      </c>
    </row>
    <row r="9" spans="1:14" ht="13.8">
      <c r="A9" s="15"/>
      <c r="B9" s="44"/>
      <c r="C9" s="44"/>
      <c r="D9" s="44"/>
      <c r="E9" s="44"/>
      <c r="F9" s="44"/>
      <c r="G9" s="44"/>
      <c r="H9" s="44"/>
      <c r="I9" s="97"/>
      <c r="J9" s="44"/>
      <c r="K9" s="44"/>
      <c r="L9" s="44"/>
    </row>
    <row r="10" spans="1:14" ht="13.8">
      <c r="A10" s="35" t="s">
        <v>34</v>
      </c>
      <c r="B10" s="5"/>
      <c r="C10" s="6"/>
      <c r="D10" s="6"/>
      <c r="E10" s="6"/>
      <c r="F10" s="5"/>
      <c r="G10" s="5"/>
      <c r="H10" s="6"/>
      <c r="I10" s="6"/>
      <c r="J10" s="6"/>
      <c r="K10" s="5"/>
      <c r="L10" s="5"/>
    </row>
    <row r="11" spans="1:14" ht="13.8">
      <c r="A11" s="15" t="s">
        <v>38</v>
      </c>
      <c r="B11" s="5">
        <f>B6</f>
        <v>2131.2330000000002</v>
      </c>
      <c r="C11" s="6">
        <v>2347.58</v>
      </c>
      <c r="D11" s="6">
        <f>(16251.7*2204.622)/1000000</f>
        <v>35.828855357400002</v>
      </c>
      <c r="E11" s="6">
        <f t="shared" ref="E11:E15" si="0">SUM(B11:D11)</f>
        <v>4514.6418553574003</v>
      </c>
      <c r="F11" s="5"/>
      <c r="G11" s="5">
        <f t="shared" ref="G11:G22" si="1">K11-J11</f>
        <v>2071.2935508996002</v>
      </c>
      <c r="H11" s="6">
        <v>832.42700000000002</v>
      </c>
      <c r="I11" s="6">
        <f t="shared" ref="I11:I22" si="2">G11-H11</f>
        <v>1238.8665508996</v>
      </c>
      <c r="J11" s="6">
        <f>(25859.9*2204.622)/1000000</f>
        <v>57.011304457800001</v>
      </c>
      <c r="K11" s="6">
        <f t="shared" ref="K11:K22" si="3">E11-L11</f>
        <v>2128.3048553574004</v>
      </c>
      <c r="L11" s="5">
        <v>2386.337</v>
      </c>
      <c r="N11" s="107"/>
    </row>
    <row r="12" spans="1:14" ht="13.8">
      <c r="A12" s="15" t="s">
        <v>39</v>
      </c>
      <c r="B12" s="5">
        <f t="shared" ref="B12:B22" si="4">L11</f>
        <v>2386.337</v>
      </c>
      <c r="C12" s="6">
        <v>2235.37</v>
      </c>
      <c r="D12" s="6">
        <f>(15479.7*2204.622)/1000000</f>
        <v>34.1268871734</v>
      </c>
      <c r="E12" s="6">
        <f t="shared" si="0"/>
        <v>4655.8338871734004</v>
      </c>
      <c r="F12" s="5"/>
      <c r="G12" s="5">
        <f t="shared" si="1"/>
        <v>2020.5919628710003</v>
      </c>
      <c r="H12" s="6">
        <v>818.01271279999992</v>
      </c>
      <c r="I12" s="6">
        <f t="shared" si="2"/>
        <v>1202.5792500710004</v>
      </c>
      <c r="J12" s="6">
        <f>(103999.2*2204.622)/1000000</f>
        <v>229.27892430239996</v>
      </c>
      <c r="K12" s="6">
        <f t="shared" si="3"/>
        <v>2249.8708871734002</v>
      </c>
      <c r="L12" s="5">
        <v>2405.9630000000002</v>
      </c>
      <c r="N12" s="107"/>
    </row>
    <row r="13" spans="1:14" ht="13.8">
      <c r="A13" s="15" t="s">
        <v>41</v>
      </c>
      <c r="B13" s="5">
        <f t="shared" si="4"/>
        <v>2405.9630000000002</v>
      </c>
      <c r="C13" s="6">
        <v>2324.183</v>
      </c>
      <c r="D13" s="6">
        <f>(14315.6*2204.622)/1000000</f>
        <v>31.560486703199999</v>
      </c>
      <c r="E13" s="6">
        <f t="shared" si="0"/>
        <v>4761.7064867032004</v>
      </c>
      <c r="F13" s="55"/>
      <c r="G13" s="5">
        <f t="shared" si="1"/>
        <v>2130.6668117588006</v>
      </c>
      <c r="H13" s="6">
        <v>938.34100000000001</v>
      </c>
      <c r="I13" s="6">
        <f t="shared" si="2"/>
        <v>1192.3258117588007</v>
      </c>
      <c r="J13" s="6">
        <f>(74910.2*2204.622)/1000000</f>
        <v>165.14867494439997</v>
      </c>
      <c r="K13" s="6">
        <f t="shared" si="3"/>
        <v>2295.8154867032003</v>
      </c>
      <c r="L13" s="5">
        <v>2465.8910000000001</v>
      </c>
      <c r="N13" s="107"/>
    </row>
    <row r="14" spans="1:14" ht="13.8">
      <c r="A14" s="15" t="s">
        <v>42</v>
      </c>
      <c r="B14" s="5">
        <f t="shared" si="4"/>
        <v>2465.8910000000001</v>
      </c>
      <c r="C14" s="6">
        <v>2277.355</v>
      </c>
      <c r="D14" s="6">
        <f>(7350.9*2204.622)/1000000</f>
        <v>16.2059558598</v>
      </c>
      <c r="E14" s="6">
        <f t="shared" si="0"/>
        <v>4759.4519558598004</v>
      </c>
      <c r="F14" s="55"/>
      <c r="G14" s="5">
        <f t="shared" si="1"/>
        <v>1975.3277087556003</v>
      </c>
      <c r="H14" s="6">
        <v>791.38699999999994</v>
      </c>
      <c r="I14" s="6">
        <f t="shared" si="2"/>
        <v>1183.9407087556003</v>
      </c>
      <c r="J14" s="6">
        <f>(128911.1*2204.622)/1000000</f>
        <v>284.2002471042</v>
      </c>
      <c r="K14" s="6">
        <f t="shared" si="3"/>
        <v>2259.5279558598004</v>
      </c>
      <c r="L14" s="5">
        <v>2499.924</v>
      </c>
      <c r="N14" s="107"/>
    </row>
    <row r="15" spans="1:14" ht="13.8">
      <c r="A15" s="15" t="s">
        <v>43</v>
      </c>
      <c r="B15" s="5">
        <f t="shared" si="4"/>
        <v>2499.924</v>
      </c>
      <c r="C15" s="6">
        <v>2064.1990000000001</v>
      </c>
      <c r="D15" s="6">
        <f>(9698.9*2204.622)/1000000</f>
        <v>21.382408315799996</v>
      </c>
      <c r="E15" s="6">
        <f t="shared" si="0"/>
        <v>4585.5054083157993</v>
      </c>
      <c r="F15" s="55"/>
      <c r="G15" s="5">
        <f t="shared" si="1"/>
        <v>1784.6374709481993</v>
      </c>
      <c r="H15" s="6">
        <v>740.60299999999995</v>
      </c>
      <c r="I15" s="6">
        <f t="shared" si="2"/>
        <v>1044.0344709481992</v>
      </c>
      <c r="J15" s="6">
        <f>(106485.8*2204.622)/1000000</f>
        <v>234.76093736760001</v>
      </c>
      <c r="K15" s="6">
        <f t="shared" si="3"/>
        <v>2019.3984083157993</v>
      </c>
      <c r="L15" s="5">
        <v>2566.107</v>
      </c>
      <c r="N15" s="107"/>
    </row>
    <row r="16" spans="1:14" ht="13.8">
      <c r="A16" s="15" t="s">
        <v>45</v>
      </c>
      <c r="B16" s="5">
        <f t="shared" si="4"/>
        <v>2566.107</v>
      </c>
      <c r="C16" s="6">
        <v>2277.5410000000002</v>
      </c>
      <c r="D16" s="6">
        <f>(10065.2*2204.622)/1000000</f>
        <v>22.189961354400001</v>
      </c>
      <c r="E16" s="6">
        <f t="shared" ref="E16:E22" si="5">SUM(B16:D16)</f>
        <v>4865.8379613544002</v>
      </c>
      <c r="F16" s="55"/>
      <c r="G16" s="5">
        <f t="shared" si="1"/>
        <v>2155.9277832030002</v>
      </c>
      <c r="H16" s="6">
        <v>908.29</v>
      </c>
      <c r="I16" s="6">
        <f t="shared" si="2"/>
        <v>1247.6377832030003</v>
      </c>
      <c r="J16" s="6">
        <f>(125278.7*2204.622)/1000000</f>
        <v>276.19217815139996</v>
      </c>
      <c r="K16" s="6">
        <f t="shared" si="3"/>
        <v>2432.1199613543999</v>
      </c>
      <c r="L16" s="5">
        <v>2433.7180000000003</v>
      </c>
      <c r="N16" s="107"/>
    </row>
    <row r="17" spans="1:14" ht="13.8">
      <c r="A17" s="15" t="s">
        <v>46</v>
      </c>
      <c r="B17" s="5">
        <f t="shared" si="4"/>
        <v>2433.7180000000003</v>
      </c>
      <c r="C17" s="6">
        <v>2143.1179999999999</v>
      </c>
      <c r="D17" s="6">
        <f>(10661.9*2204.622)/1000000</f>
        <v>23.505459301799998</v>
      </c>
      <c r="E17" s="6">
        <f t="shared" si="5"/>
        <v>4600.3414593018006</v>
      </c>
      <c r="F17" s="55"/>
      <c r="G17" s="5">
        <f t="shared" si="1"/>
        <v>2018.5597328586007</v>
      </c>
      <c r="H17" s="6">
        <v>838.9</v>
      </c>
      <c r="I17" s="6">
        <f t="shared" si="2"/>
        <v>1179.6597328586008</v>
      </c>
      <c r="J17" s="6">
        <f>(71485.6*2204.622)/1000000</f>
        <v>157.59872644319998</v>
      </c>
      <c r="K17" s="6">
        <f t="shared" si="3"/>
        <v>2176.1584593018006</v>
      </c>
      <c r="L17" s="5">
        <v>2424.183</v>
      </c>
      <c r="N17" s="107"/>
    </row>
    <row r="18" spans="1:14" ht="13.8">
      <c r="A18" s="15" t="s">
        <v>47</v>
      </c>
      <c r="B18" s="5">
        <f t="shared" si="4"/>
        <v>2424.183</v>
      </c>
      <c r="C18" s="6">
        <v>2158.7739999999999</v>
      </c>
      <c r="D18" s="108">
        <f>(11291.8*2204.622)/1000000</f>
        <v>24.894150699599997</v>
      </c>
      <c r="E18" s="6">
        <f t="shared" si="5"/>
        <v>4607.8511506996001</v>
      </c>
      <c r="F18" s="55"/>
      <c r="G18" s="5">
        <f t="shared" si="1"/>
        <v>2149.5948740757999</v>
      </c>
      <c r="H18" s="6">
        <v>855.57100000000003</v>
      </c>
      <c r="I18" s="6">
        <f t="shared" si="2"/>
        <v>1294.0238740758</v>
      </c>
      <c r="J18" s="108">
        <f>(33512.9*2204.622)/1000000</f>
        <v>73.8832766238</v>
      </c>
      <c r="K18" s="6">
        <f t="shared" si="3"/>
        <v>2223.4781506996001</v>
      </c>
      <c r="L18" s="5">
        <v>2384.373</v>
      </c>
      <c r="N18" s="107"/>
    </row>
    <row r="19" spans="1:14" ht="13.8">
      <c r="A19" s="15" t="s">
        <v>49</v>
      </c>
      <c r="B19" s="5">
        <f t="shared" si="4"/>
        <v>2384.373</v>
      </c>
      <c r="C19" s="6">
        <v>2068.578</v>
      </c>
      <c r="D19" s="108">
        <f>(10963.6*2204.622)/1000000</f>
        <v>24.170593759199999</v>
      </c>
      <c r="E19" s="6">
        <f t="shared" si="5"/>
        <v>4477.1215937591996</v>
      </c>
      <c r="F19" s="55"/>
      <c r="G19" s="5">
        <f t="shared" si="1"/>
        <v>2088.6787772001999</v>
      </c>
      <c r="H19" s="6">
        <v>809.79899999999998</v>
      </c>
      <c r="I19" s="6">
        <f t="shared" si="2"/>
        <v>1278.8797772001999</v>
      </c>
      <c r="J19" s="108">
        <f>(33084.5*2204.622)/1000000</f>
        <v>72.938816559000003</v>
      </c>
      <c r="K19" s="6">
        <f t="shared" si="3"/>
        <v>2161.6175937591997</v>
      </c>
      <c r="L19" s="5">
        <v>2315.5039999999999</v>
      </c>
    </row>
    <row r="20" spans="1:14" ht="13.8">
      <c r="A20" s="15" t="s">
        <v>50</v>
      </c>
      <c r="B20" s="5">
        <f t="shared" si="4"/>
        <v>2315.5039999999999</v>
      </c>
      <c r="C20" s="6">
        <v>2169.9299999999998</v>
      </c>
      <c r="D20" s="108">
        <f>(11379.9*2204.622)/1000000</f>
        <v>25.088377897799997</v>
      </c>
      <c r="E20" s="6">
        <f t="shared" si="5"/>
        <v>4510.5223778977988</v>
      </c>
      <c r="F20" s="55"/>
      <c r="G20" s="5">
        <f t="shared" si="1"/>
        <v>2125.602306053599</v>
      </c>
      <c r="H20" s="6">
        <v>956.48800000000006</v>
      </c>
      <c r="I20" s="6">
        <f t="shared" si="2"/>
        <v>1169.114306053599</v>
      </c>
      <c r="J20" s="108">
        <f>(53581.1*2204.622)/1000000</f>
        <v>118.12607184419998</v>
      </c>
      <c r="K20" s="6">
        <f t="shared" si="3"/>
        <v>2243.728377897799</v>
      </c>
      <c r="L20" s="5">
        <v>2266.7939999999999</v>
      </c>
    </row>
    <row r="21" spans="1:14" ht="13.8">
      <c r="A21" s="15" t="s">
        <v>51</v>
      </c>
      <c r="B21" s="5">
        <f t="shared" si="4"/>
        <v>2266.7939999999999</v>
      </c>
      <c r="C21" s="6">
        <v>2095.5810000000001</v>
      </c>
      <c r="D21" s="108">
        <f>(9635.1*2204.622)/1000000</f>
        <v>21.241753432199999</v>
      </c>
      <c r="E21" s="6">
        <f t="shared" si="5"/>
        <v>4383.6167534322003</v>
      </c>
      <c r="F21" s="55"/>
      <c r="G21" s="5">
        <f t="shared" si="1"/>
        <v>2223.0527249938004</v>
      </c>
      <c r="H21" s="6">
        <v>924.71799999999996</v>
      </c>
      <c r="I21" s="6">
        <f t="shared" si="2"/>
        <v>1298.3347249938006</v>
      </c>
      <c r="J21" s="108">
        <f>(25787.2*2204.622)/1000000</f>
        <v>56.8510284384</v>
      </c>
      <c r="K21" s="6">
        <f t="shared" si="3"/>
        <v>2279.9037534322006</v>
      </c>
      <c r="L21" s="5">
        <v>2103.7129999999997</v>
      </c>
    </row>
    <row r="22" spans="1:14" ht="13.8">
      <c r="A22" s="15" t="s">
        <v>37</v>
      </c>
      <c r="B22" s="5">
        <f t="shared" si="4"/>
        <v>2103.7129999999997</v>
      </c>
      <c r="C22" s="6">
        <v>1992.9639999999999</v>
      </c>
      <c r="D22" s="108">
        <f>(10328.5*2204.622)/1000000</f>
        <v>22.770438327000001</v>
      </c>
      <c r="E22" s="6">
        <f t="shared" si="5"/>
        <v>4119.4474383269999</v>
      </c>
      <c r="F22" s="55"/>
      <c r="G22" s="5">
        <f t="shared" si="1"/>
        <v>2083.3701238157996</v>
      </c>
      <c r="H22" s="6">
        <v>933.65499999999997</v>
      </c>
      <c r="I22" s="6">
        <f t="shared" si="2"/>
        <v>1149.7151238157996</v>
      </c>
      <c r="J22" s="108">
        <f>(20379.6*2204.622)/1000000</f>
        <v>44.929314511199998</v>
      </c>
      <c r="K22" s="6">
        <f t="shared" si="3"/>
        <v>2128.2994383269997</v>
      </c>
      <c r="L22" s="5">
        <v>1991.1480000000001</v>
      </c>
    </row>
    <row r="23" spans="1:14" ht="13.8">
      <c r="A23" s="15" t="s">
        <v>28</v>
      </c>
      <c r="B23" s="5"/>
      <c r="C23" s="6">
        <f>SUM(C11:C22)</f>
        <v>26155.173000000003</v>
      </c>
      <c r="D23" s="6">
        <f>(137422.8*2204.622)/1000000</f>
        <v>302.9653281816</v>
      </c>
      <c r="E23" s="6">
        <f>B11+C23+D23</f>
        <v>28589.371328181602</v>
      </c>
      <c r="F23" s="5"/>
      <c r="G23" s="5">
        <f>SUM(G11:G22)</f>
        <v>24827.303827433996</v>
      </c>
      <c r="H23" s="6">
        <f>SUM(H11:H22)</f>
        <v>10348.1917128</v>
      </c>
      <c r="I23" s="6">
        <f>SUM(I11:I22)</f>
        <v>14479.112114634001</v>
      </c>
      <c r="J23" s="6">
        <f>(803275.8*2204.622)/1000000</f>
        <v>1770.9195007476001</v>
      </c>
      <c r="K23" s="5">
        <f>SUM(K11:K22)</f>
        <v>26598.223328181601</v>
      </c>
      <c r="L23" s="5"/>
    </row>
    <row r="24" spans="1:14" ht="13.8">
      <c r="A24" s="15"/>
      <c r="B24" s="5"/>
      <c r="C24" s="6"/>
      <c r="D24" s="6"/>
      <c r="E24" s="6"/>
      <c r="F24" s="5"/>
      <c r="G24" s="5"/>
      <c r="H24" s="6"/>
      <c r="I24" s="6"/>
      <c r="J24" s="6"/>
      <c r="K24" s="5"/>
      <c r="L24" s="5"/>
    </row>
    <row r="25" spans="1:14" ht="13.8">
      <c r="A25" s="35" t="s">
        <v>53</v>
      </c>
      <c r="B25" s="5"/>
      <c r="C25" s="6"/>
      <c r="D25" s="6"/>
      <c r="E25" s="6"/>
      <c r="F25" s="5"/>
      <c r="G25" s="5"/>
      <c r="H25" s="6"/>
      <c r="I25" s="6"/>
      <c r="J25" s="6"/>
      <c r="K25" s="5"/>
      <c r="L25" s="5"/>
    </row>
    <row r="26" spans="1:14" ht="13.8">
      <c r="A26" s="15" t="s">
        <v>38</v>
      </c>
      <c r="B26" s="5">
        <f>L22</f>
        <v>1991.1480000000001</v>
      </c>
      <c r="C26" s="6">
        <v>2338.085</v>
      </c>
      <c r="D26" s="6">
        <f>(13491.4*2204.622)/1000000</f>
        <v>29.7434372508</v>
      </c>
      <c r="E26" s="6">
        <f t="shared" ref="E26:E33" si="6">SUM(B26:D26)</f>
        <v>4358.9764372507998</v>
      </c>
      <c r="F26" s="5"/>
      <c r="G26" s="5">
        <f t="shared" ref="G26:G34" si="7">K26-J26</f>
        <v>2241.8177746275996</v>
      </c>
      <c r="H26" s="6">
        <v>906.40899999999999</v>
      </c>
      <c r="I26" s="6">
        <f t="shared" ref="I26:I33" si="8">G26-H26</f>
        <v>1335.4087746275995</v>
      </c>
      <c r="J26" s="6">
        <f>(10675.6*2204.622)/1000000</f>
        <v>23.5356626232</v>
      </c>
      <c r="K26" s="6">
        <f t="shared" ref="K26:K33" si="9">E26-L26</f>
        <v>2265.3534372507997</v>
      </c>
      <c r="L26" s="5">
        <v>2093.623</v>
      </c>
    </row>
    <row r="27" spans="1:14" ht="13.8">
      <c r="A27" s="15" t="s">
        <v>39</v>
      </c>
      <c r="B27" s="5">
        <f t="shared" ref="B27:B34" si="10">L26</f>
        <v>2093.623</v>
      </c>
      <c r="C27" s="6">
        <v>2199.962</v>
      </c>
      <c r="D27" s="6">
        <f>(11744.6*2204.622)/1000000</f>
        <v>25.8924035412</v>
      </c>
      <c r="E27" s="6">
        <f t="shared" si="6"/>
        <v>4319.4774035412001</v>
      </c>
      <c r="F27" s="5"/>
      <c r="G27" s="5">
        <f t="shared" si="7"/>
        <v>2183.7493667224003</v>
      </c>
      <c r="H27" s="6">
        <v>943.34192259999998</v>
      </c>
      <c r="I27" s="6">
        <f t="shared" si="8"/>
        <v>1240.4074441224002</v>
      </c>
      <c r="J27" s="6">
        <f>(10635.4*2204.622)/1000000</f>
        <v>23.447036818799997</v>
      </c>
      <c r="K27" s="6">
        <f t="shared" si="9"/>
        <v>2207.1964035412002</v>
      </c>
      <c r="L27" s="5">
        <v>2112.2809999999999</v>
      </c>
    </row>
    <row r="28" spans="1:14" ht="13.8">
      <c r="A28" s="15" t="s">
        <v>41</v>
      </c>
      <c r="B28" s="5">
        <f t="shared" si="10"/>
        <v>2112.2809999999999</v>
      </c>
      <c r="C28" s="6">
        <v>2195.3580000000002</v>
      </c>
      <c r="D28" s="6">
        <f>(10252.4*2204.622)/1000000</f>
        <v>22.602666592799999</v>
      </c>
      <c r="E28" s="6">
        <f t="shared" si="6"/>
        <v>4330.2416665928004</v>
      </c>
      <c r="F28" s="5"/>
      <c r="G28" s="5">
        <f t="shared" si="7"/>
        <v>1989.2481907986005</v>
      </c>
      <c r="H28" s="6">
        <v>885.4429075999999</v>
      </c>
      <c r="I28" s="6">
        <f t="shared" si="8"/>
        <v>1103.8052831986006</v>
      </c>
      <c r="J28" s="6">
        <f>(15806.1*2204.622)/1000000</f>
        <v>34.846475794199996</v>
      </c>
      <c r="K28" s="6">
        <f t="shared" si="9"/>
        <v>2024.0946665928004</v>
      </c>
      <c r="L28" s="5">
        <v>2306.1469999999999</v>
      </c>
    </row>
    <row r="29" spans="1:14" ht="13.8">
      <c r="A29" s="15" t="s">
        <v>42</v>
      </c>
      <c r="B29" s="5">
        <f t="shared" si="10"/>
        <v>2306.1469999999999</v>
      </c>
      <c r="C29" s="6">
        <v>2252.3119999999999</v>
      </c>
      <c r="D29" s="6">
        <f>(11450.2*2204.622)/1000000</f>
        <v>25.243362824400002</v>
      </c>
      <c r="E29" s="6">
        <f t="shared" si="6"/>
        <v>4583.7023628243996</v>
      </c>
      <c r="F29" s="5"/>
      <c r="G29" s="5">
        <f t="shared" si="7"/>
        <v>2211.8930392041998</v>
      </c>
      <c r="H29" s="6">
        <v>940.87400000000002</v>
      </c>
      <c r="I29" s="6">
        <f t="shared" si="8"/>
        <v>1271.0190392041998</v>
      </c>
      <c r="J29" s="6">
        <f>(6989.1*2204.622)/1000000</f>
        <v>15.408323620199999</v>
      </c>
      <c r="K29" s="6">
        <f t="shared" si="9"/>
        <v>2227.3013628243998</v>
      </c>
      <c r="L29" s="5">
        <v>2356.4009999999998</v>
      </c>
    </row>
    <row r="30" spans="1:14" ht="13.8">
      <c r="A30" s="15" t="s">
        <v>43</v>
      </c>
      <c r="B30" s="5">
        <f t="shared" si="10"/>
        <v>2356.4009999999998</v>
      </c>
      <c r="C30" s="6">
        <v>2091.2179999999998</v>
      </c>
      <c r="D30" s="6">
        <f>(15213.2*2204.622)/1000000</f>
        <v>33.539355410399999</v>
      </c>
      <c r="E30" s="6">
        <f t="shared" si="6"/>
        <v>4481.1583554104</v>
      </c>
      <c r="F30" s="5"/>
      <c r="G30" s="5">
        <f t="shared" si="7"/>
        <v>2091.4034745958002</v>
      </c>
      <c r="H30" s="6">
        <v>909.98699999999997</v>
      </c>
      <c r="I30" s="6">
        <f t="shared" si="8"/>
        <v>1181.4164745958001</v>
      </c>
      <c r="J30" s="6">
        <f>(11774.3*2204.622)/1000000</f>
        <v>25.957880814599999</v>
      </c>
      <c r="K30" s="6">
        <f t="shared" si="9"/>
        <v>2117.3613554103999</v>
      </c>
      <c r="L30" s="5">
        <v>2363.797</v>
      </c>
    </row>
    <row r="31" spans="1:14" ht="13.8">
      <c r="A31" s="15" t="s">
        <v>45</v>
      </c>
      <c r="B31" s="5">
        <f t="shared" si="10"/>
        <v>2363.797</v>
      </c>
      <c r="C31" s="6">
        <v>2339.5810000000001</v>
      </c>
      <c r="D31" s="6">
        <f>(15180.8*2204.622)/1000000</f>
        <v>33.467925657599999</v>
      </c>
      <c r="E31" s="6">
        <f t="shared" si="6"/>
        <v>4736.8459256576007</v>
      </c>
      <c r="F31" s="5"/>
      <c r="G31" s="5">
        <f t="shared" si="7"/>
        <v>2336.5298038548008</v>
      </c>
      <c r="H31" s="6">
        <v>952.70299999999997</v>
      </c>
      <c r="I31" s="6">
        <f t="shared" si="8"/>
        <v>1383.8268038548008</v>
      </c>
      <c r="J31" s="6">
        <f>(5807.4*2204.622)/1000000</f>
        <v>12.803121802799998</v>
      </c>
      <c r="K31" s="6">
        <f t="shared" si="9"/>
        <v>2349.3329256576008</v>
      </c>
      <c r="L31" s="5">
        <v>2387.5129999999999</v>
      </c>
    </row>
    <row r="32" spans="1:14" ht="13.8">
      <c r="A32" s="15" t="s">
        <v>46</v>
      </c>
      <c r="B32" s="5">
        <f t="shared" si="10"/>
        <v>2387.5129999999999</v>
      </c>
      <c r="C32" s="6">
        <v>2236.3009999999999</v>
      </c>
      <c r="D32" s="6">
        <f>(15750.7*2204.622)/1000000</f>
        <v>34.724339735400001</v>
      </c>
      <c r="E32" s="6">
        <f t="shared" si="6"/>
        <v>4658.5383397353999</v>
      </c>
      <c r="F32" s="5"/>
      <c r="G32" s="5">
        <f t="shared" si="7"/>
        <v>2058.2364235171999</v>
      </c>
      <c r="H32" s="6">
        <v>926.59799999999996</v>
      </c>
      <c r="I32" s="6">
        <f t="shared" si="8"/>
        <v>1131.6384235172</v>
      </c>
      <c r="J32" s="6">
        <f>(27498.1*2204.622)/1000000</f>
        <v>60.62291621819999</v>
      </c>
      <c r="K32" s="6">
        <f t="shared" si="9"/>
        <v>2118.8593397353998</v>
      </c>
      <c r="L32" s="5">
        <v>2539.6790000000001</v>
      </c>
    </row>
    <row r="33" spans="1:12" ht="13.8">
      <c r="A33" s="15" t="s">
        <v>47</v>
      </c>
      <c r="B33" s="5">
        <f t="shared" si="10"/>
        <v>2539.6790000000001</v>
      </c>
      <c r="C33" s="6">
        <v>2228.3719999999998</v>
      </c>
      <c r="D33" s="6">
        <f>(24574.7*2204.622)/1000000</f>
        <v>54.177924263399994</v>
      </c>
      <c r="E33" s="6">
        <f t="shared" si="6"/>
        <v>4822.2289242633997</v>
      </c>
      <c r="F33" s="5"/>
      <c r="G33" s="5">
        <f t="shared" si="7"/>
        <v>2385.7924694315993</v>
      </c>
      <c r="H33" s="6">
        <v>1140.8710000000001</v>
      </c>
      <c r="I33" s="6">
        <f t="shared" si="8"/>
        <v>1244.9214694315992</v>
      </c>
      <c r="J33" s="6">
        <f>(22776.9*2204.622)/1000000</f>
        <v>50.214454831799998</v>
      </c>
      <c r="K33" s="6">
        <f t="shared" si="9"/>
        <v>2436.0069242633995</v>
      </c>
      <c r="L33" s="5">
        <v>2386.2220000000002</v>
      </c>
    </row>
    <row r="34" spans="1:12" ht="13.8">
      <c r="A34" s="14" t="s">
        <v>49</v>
      </c>
      <c r="B34" s="51">
        <f t="shared" si="10"/>
        <v>2386.2220000000002</v>
      </c>
      <c r="C34" s="136">
        <v>2074.857</v>
      </c>
      <c r="D34" s="136">
        <f>(7900.8*2204.622)/1000000</f>
        <v>17.418277497600002</v>
      </c>
      <c r="E34" s="136">
        <f>SUM(B34:D34)</f>
        <v>4478.4972774975995</v>
      </c>
      <c r="F34" s="51"/>
      <c r="G34" s="51">
        <f t="shared" si="7"/>
        <v>2235.5639103903995</v>
      </c>
      <c r="H34" s="136" t="s">
        <v>77</v>
      </c>
      <c r="I34" s="136" t="s">
        <v>77</v>
      </c>
      <c r="J34" s="136">
        <f>(18097.6*2204.622)/1000000</f>
        <v>39.898367107199995</v>
      </c>
      <c r="K34" s="136">
        <f>E34-L34</f>
        <v>2275.4622774975996</v>
      </c>
      <c r="L34" s="51">
        <v>2203.0349999999999</v>
      </c>
    </row>
    <row r="35" spans="1:12" ht="16.2">
      <c r="A35" s="47" t="s">
        <v>78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ht="14.4">
      <c r="A36" s="15" t="s">
        <v>68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ht="13.8">
      <c r="A37" s="20" t="s">
        <v>56</v>
      </c>
      <c r="B37" s="41">
        <f>Contents!A16</f>
        <v>45153</v>
      </c>
      <c r="K37" s="39"/>
    </row>
    <row r="38" spans="1:12">
      <c r="E38" s="39"/>
    </row>
  </sheetData>
  <mergeCells count="3">
    <mergeCell ref="B5:L5"/>
    <mergeCell ref="G2:I2"/>
    <mergeCell ref="B2:E2"/>
  </mergeCells>
  <phoneticPr fontId="32" type="noConversion"/>
  <pageMargins left="0.75" right="0.75" top="1" bottom="1" header="0.5" footer="0.5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Q54"/>
  <sheetViews>
    <sheetView showGridLines="0" zoomScale="70" zoomScaleNormal="70" workbookViewId="0"/>
  </sheetViews>
  <sheetFormatPr defaultColWidth="9.109375" defaultRowHeight="13.2"/>
  <cols>
    <col min="1" max="1" width="15.33203125" customWidth="1"/>
    <col min="2" max="2" width="13.109375" customWidth="1"/>
    <col min="3" max="3" width="12.109375" customWidth="1"/>
    <col min="4" max="4" width="13.44140625" customWidth="1"/>
    <col min="5" max="5" width="15.33203125" customWidth="1"/>
    <col min="6" max="6" width="11.44140625" customWidth="1"/>
    <col min="7" max="7" width="11.6640625" customWidth="1"/>
    <col min="8" max="8" width="8.6640625" customWidth="1"/>
    <col min="9" max="9" width="9.6640625" customWidth="1"/>
    <col min="10" max="11" width="7.6640625" customWidth="1"/>
    <col min="12" max="12" width="8.5546875" customWidth="1"/>
    <col min="13" max="13" width="9.5546875" customWidth="1"/>
    <col min="14" max="14" width="7.5546875" customWidth="1"/>
    <col min="15" max="15" width="8.33203125" bestFit="1" customWidth="1"/>
    <col min="19" max="19" width="17.44140625" bestFit="1" customWidth="1"/>
    <col min="21" max="21" width="28.33203125" bestFit="1" customWidth="1"/>
  </cols>
  <sheetData>
    <row r="1" spans="1:15" ht="13.8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O1" s="15"/>
    </row>
    <row r="2" spans="1:15" ht="13.8">
      <c r="A2" s="15"/>
      <c r="B2" s="164" t="s">
        <v>57</v>
      </c>
      <c r="C2" s="164"/>
      <c r="D2" s="164"/>
      <c r="E2" s="164"/>
      <c r="F2" s="80"/>
      <c r="G2" s="164" t="s">
        <v>58</v>
      </c>
      <c r="H2" s="164"/>
      <c r="I2" s="164"/>
      <c r="J2" s="164"/>
      <c r="K2" s="80"/>
      <c r="L2" s="15"/>
      <c r="M2" s="15"/>
      <c r="N2" s="15"/>
      <c r="O2" s="15"/>
    </row>
    <row r="3" spans="1:15" ht="13.8">
      <c r="A3" s="15" t="s">
        <v>17</v>
      </c>
      <c r="B3" s="20" t="s">
        <v>69</v>
      </c>
      <c r="C3" s="20"/>
      <c r="D3" s="20"/>
      <c r="E3" s="20"/>
      <c r="F3" s="20"/>
      <c r="G3" s="20"/>
      <c r="H3" s="20"/>
      <c r="I3" s="20"/>
      <c r="J3" s="20"/>
      <c r="K3" s="17" t="s">
        <v>59</v>
      </c>
      <c r="L3" s="15"/>
      <c r="M3" s="15"/>
      <c r="N3" s="15"/>
      <c r="O3" s="15"/>
    </row>
    <row r="4" spans="1:15" ht="13.8">
      <c r="A4" s="21" t="s">
        <v>79</v>
      </c>
      <c r="B4" s="23" t="s">
        <v>80</v>
      </c>
      <c r="C4" s="64" t="s">
        <v>26</v>
      </c>
      <c r="D4" s="25" t="s">
        <v>70</v>
      </c>
      <c r="E4" s="23" t="s">
        <v>81</v>
      </c>
      <c r="F4" s="24"/>
      <c r="G4" s="23" t="s">
        <v>82</v>
      </c>
      <c r="H4" s="23" t="s">
        <v>30</v>
      </c>
      <c r="I4" s="23" t="s">
        <v>83</v>
      </c>
      <c r="J4" s="23" t="s">
        <v>84</v>
      </c>
      <c r="K4" s="23" t="s">
        <v>61</v>
      </c>
      <c r="L4" s="15"/>
      <c r="M4" s="15"/>
      <c r="N4" s="15"/>
      <c r="O4" s="15"/>
    </row>
    <row r="5" spans="1:15" ht="14.4">
      <c r="A5" s="15"/>
      <c r="B5" s="167" t="s">
        <v>85</v>
      </c>
      <c r="C5" s="167"/>
      <c r="D5" s="167"/>
      <c r="E5" s="167"/>
      <c r="F5" s="167"/>
      <c r="G5" s="167"/>
      <c r="H5" s="167"/>
      <c r="I5" s="167"/>
      <c r="J5" s="167"/>
      <c r="K5" s="167"/>
      <c r="L5" s="15"/>
      <c r="M5" s="15"/>
      <c r="N5" s="15"/>
      <c r="O5" s="15"/>
    </row>
    <row r="6" spans="1:15" ht="13.8">
      <c r="A6" s="15" t="s">
        <v>34</v>
      </c>
      <c r="B6" s="82">
        <v>395.43068871102241</v>
      </c>
      <c r="C6" s="82">
        <v>5323</v>
      </c>
      <c r="D6" s="83">
        <v>24.765738432900992</v>
      </c>
      <c r="E6" s="82">
        <f>B6+C6+D6</f>
        <v>5743.1964271439238</v>
      </c>
      <c r="F6" s="84"/>
      <c r="G6" s="82">
        <v>1556.9839999999999</v>
      </c>
      <c r="H6" s="85">
        <v>292.99103926406997</v>
      </c>
      <c r="I6" s="82">
        <f>J6-G6-H6</f>
        <v>3497.8</v>
      </c>
      <c r="J6" s="82">
        <f>E6-K6</f>
        <v>5347.7750392640701</v>
      </c>
      <c r="K6" s="82">
        <v>395.42138787985368</v>
      </c>
      <c r="L6" s="15"/>
      <c r="M6" s="15"/>
      <c r="N6" s="131"/>
      <c r="O6" s="15"/>
    </row>
    <row r="7" spans="1:15" ht="16.2">
      <c r="A7" s="15" t="s">
        <v>35</v>
      </c>
      <c r="B7" s="82">
        <f>K6</f>
        <v>395.42138787985368</v>
      </c>
      <c r="C7" s="82">
        <v>4415</v>
      </c>
      <c r="D7" s="83">
        <v>80</v>
      </c>
      <c r="E7" s="82">
        <f>B7+C7+D7</f>
        <v>4890.4213878798537</v>
      </c>
      <c r="F7" s="84"/>
      <c r="G7" s="82">
        <v>1425</v>
      </c>
      <c r="H7" s="85">
        <v>185</v>
      </c>
      <c r="I7" s="82">
        <v>2892.4213878798537</v>
      </c>
      <c r="J7" s="82">
        <f>SUM(G7:I7)</f>
        <v>4502.4213878798537</v>
      </c>
      <c r="K7" s="82">
        <f>E7-J7</f>
        <v>388</v>
      </c>
      <c r="L7" s="15"/>
      <c r="M7" s="15"/>
      <c r="N7" s="15"/>
      <c r="O7" s="15"/>
    </row>
    <row r="8" spans="1:15" ht="16.2">
      <c r="A8" s="14" t="s">
        <v>36</v>
      </c>
      <c r="B8" s="86">
        <f>K7</f>
        <v>388</v>
      </c>
      <c r="C8" s="86">
        <v>4250</v>
      </c>
      <c r="D8" s="87">
        <v>25</v>
      </c>
      <c r="E8" s="86">
        <f>B8+C8+D8</f>
        <v>4663</v>
      </c>
      <c r="F8" s="88"/>
      <c r="G8" s="86">
        <v>1375</v>
      </c>
      <c r="H8" s="89">
        <v>175</v>
      </c>
      <c r="I8" s="86">
        <v>2743</v>
      </c>
      <c r="J8" s="86">
        <f>SUM(G8:I8)</f>
        <v>4293</v>
      </c>
      <c r="K8" s="86">
        <f>E8-J8</f>
        <v>370</v>
      </c>
      <c r="L8" s="15"/>
      <c r="M8" s="15"/>
      <c r="N8" s="15"/>
      <c r="O8" s="15"/>
    </row>
    <row r="9" spans="1:15" ht="16.2">
      <c r="A9" s="47" t="s">
        <v>86</v>
      </c>
      <c r="B9" s="15"/>
      <c r="C9" s="81"/>
      <c r="D9" s="81"/>
      <c r="E9" s="81"/>
      <c r="F9" s="81"/>
      <c r="G9" s="90"/>
      <c r="H9" s="81"/>
      <c r="I9" s="81"/>
      <c r="J9" s="81"/>
      <c r="K9" s="15"/>
      <c r="L9" s="15"/>
      <c r="M9" s="15"/>
      <c r="N9" s="15"/>
      <c r="O9" s="15"/>
    </row>
    <row r="10" spans="1:15" ht="14.4">
      <c r="A10" s="15" t="s">
        <v>87</v>
      </c>
      <c r="B10" s="33"/>
      <c r="C10" s="38"/>
      <c r="D10" s="15"/>
      <c r="E10" s="33"/>
      <c r="F10" s="33"/>
      <c r="G10" s="33"/>
      <c r="H10" s="33"/>
      <c r="I10" s="33"/>
      <c r="J10" s="33"/>
      <c r="K10" s="15"/>
      <c r="L10" s="15"/>
      <c r="M10" s="15"/>
      <c r="N10" s="15"/>
      <c r="O10" s="15"/>
    </row>
    <row r="11" spans="1:15" ht="14.4">
      <c r="A11" s="15" t="s">
        <v>88</v>
      </c>
      <c r="B11" s="33"/>
      <c r="C11" s="38"/>
      <c r="D11" s="15"/>
      <c r="E11" s="33"/>
      <c r="F11" s="33"/>
      <c r="G11" s="33"/>
      <c r="H11" s="33"/>
      <c r="I11" s="33"/>
      <c r="J11" s="33"/>
      <c r="K11" s="15"/>
      <c r="L11" s="15"/>
      <c r="M11" s="15"/>
      <c r="N11" s="15"/>
      <c r="O11" s="15"/>
    </row>
    <row r="12" spans="1:15" ht="13.8">
      <c r="A12" s="15"/>
      <c r="B12" s="33"/>
      <c r="C12" s="38"/>
      <c r="D12" s="15"/>
      <c r="E12" s="33"/>
      <c r="F12" s="33"/>
      <c r="G12" s="33"/>
      <c r="H12" s="33"/>
      <c r="I12" s="33"/>
      <c r="J12" s="33"/>
      <c r="K12" s="15"/>
      <c r="L12" s="15"/>
      <c r="M12" s="15"/>
      <c r="N12" s="15"/>
      <c r="O12" s="15"/>
    </row>
    <row r="13" spans="1:15" ht="13.8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3.8">
      <c r="A14" s="14" t="s">
        <v>5</v>
      </c>
      <c r="B14" s="14"/>
      <c r="C14" s="14"/>
      <c r="D14" s="14"/>
      <c r="E14" s="14"/>
      <c r="F14" s="14"/>
      <c r="G14" s="14"/>
      <c r="H14" s="14"/>
      <c r="I14" s="15"/>
      <c r="J14" s="14"/>
      <c r="K14" s="15"/>
      <c r="L14" s="15"/>
      <c r="M14" s="15"/>
      <c r="N14" s="15"/>
      <c r="O14" s="15"/>
    </row>
    <row r="15" spans="1:15" ht="13.8">
      <c r="A15" s="15"/>
      <c r="B15" s="164" t="s">
        <v>57</v>
      </c>
      <c r="C15" s="164"/>
      <c r="D15" s="164"/>
      <c r="E15" s="164"/>
      <c r="F15" s="15"/>
      <c r="G15" s="164" t="s">
        <v>58</v>
      </c>
      <c r="H15" s="164"/>
      <c r="I15" s="164"/>
      <c r="J15" s="15"/>
      <c r="K15" s="15"/>
      <c r="L15" s="15"/>
      <c r="M15" s="15"/>
      <c r="N15" s="15"/>
      <c r="O15" s="15"/>
    </row>
    <row r="16" spans="1:15" ht="13.8">
      <c r="A16" s="15" t="s">
        <v>17</v>
      </c>
      <c r="B16" s="17" t="s">
        <v>69</v>
      </c>
      <c r="C16" s="20"/>
      <c r="D16" s="20"/>
      <c r="E16" s="20"/>
      <c r="F16" s="20"/>
      <c r="G16" s="20"/>
      <c r="H16" s="20"/>
      <c r="I16" s="20"/>
      <c r="J16" s="17" t="s">
        <v>59</v>
      </c>
      <c r="K16" s="15"/>
      <c r="L16" s="15"/>
      <c r="M16" s="15"/>
      <c r="N16" s="15"/>
      <c r="O16" s="15"/>
    </row>
    <row r="17" spans="1:15" ht="13.8">
      <c r="A17" s="21" t="s">
        <v>60</v>
      </c>
      <c r="B17" s="23" t="s">
        <v>61</v>
      </c>
      <c r="C17" s="64" t="s">
        <v>26</v>
      </c>
      <c r="D17" s="25" t="s">
        <v>70</v>
      </c>
      <c r="E17" s="23" t="s">
        <v>84</v>
      </c>
      <c r="F17" s="24"/>
      <c r="G17" s="82" t="s">
        <v>89</v>
      </c>
      <c r="H17" s="23" t="s">
        <v>30</v>
      </c>
      <c r="I17" s="25" t="s">
        <v>62</v>
      </c>
      <c r="J17" s="23" t="s">
        <v>61</v>
      </c>
      <c r="K17" s="15"/>
      <c r="L17" s="15"/>
      <c r="M17" s="15"/>
      <c r="N17" s="15"/>
      <c r="O17" s="15"/>
    </row>
    <row r="18" spans="1:15" ht="14.4">
      <c r="A18" s="15"/>
      <c r="B18" s="167" t="s">
        <v>90</v>
      </c>
      <c r="C18" s="167"/>
      <c r="D18" s="167"/>
      <c r="E18" s="167"/>
      <c r="F18" s="167"/>
      <c r="G18" s="167"/>
      <c r="H18" s="167"/>
      <c r="I18" s="167"/>
      <c r="J18" s="167"/>
      <c r="K18" s="15"/>
      <c r="L18" s="15"/>
      <c r="M18" s="15"/>
      <c r="N18" s="15"/>
      <c r="O18" s="15"/>
    </row>
    <row r="19" spans="1:15" ht="13.8">
      <c r="A19" s="15" t="s">
        <v>34</v>
      </c>
      <c r="B19" s="82">
        <v>39.305999999999997</v>
      </c>
      <c r="C19" s="85">
        <v>695</v>
      </c>
      <c r="D19" s="112">
        <v>0.10141264051999997</v>
      </c>
      <c r="E19" s="85">
        <f>B19+C19+D19</f>
        <v>734.40741264052008</v>
      </c>
      <c r="F19" s="84"/>
      <c r="G19" s="85">
        <f>E19-J19-H19</f>
        <v>655.27531148258311</v>
      </c>
      <c r="H19" s="85">
        <v>56.816101157936991</v>
      </c>
      <c r="I19" s="85">
        <f>SUM(G19:H19)</f>
        <v>712.09141264052005</v>
      </c>
      <c r="J19" s="82">
        <v>22.315999999999999</v>
      </c>
      <c r="K19" s="15"/>
      <c r="L19" s="15"/>
      <c r="M19" s="15"/>
      <c r="N19" s="15"/>
      <c r="O19" s="15"/>
    </row>
    <row r="20" spans="1:15" ht="16.2">
      <c r="A20" s="15" t="s">
        <v>35</v>
      </c>
      <c r="B20" s="82">
        <f>J19</f>
        <v>22.315999999999999</v>
      </c>
      <c r="C20" s="85">
        <v>600</v>
      </c>
      <c r="D20" s="83">
        <v>0</v>
      </c>
      <c r="E20" s="85">
        <f>B20+C20+D20</f>
        <v>622.31600000000003</v>
      </c>
      <c r="F20" s="84"/>
      <c r="G20" s="85">
        <v>522.31600000000003</v>
      </c>
      <c r="H20" s="85">
        <v>60</v>
      </c>
      <c r="I20" s="85">
        <f>SUM(G20:H20)</f>
        <v>582.31600000000003</v>
      </c>
      <c r="J20" s="82">
        <f>E20-I20</f>
        <v>40</v>
      </c>
      <c r="K20" s="15"/>
      <c r="L20" s="15"/>
      <c r="M20" s="15"/>
      <c r="N20" s="15"/>
      <c r="O20" s="15"/>
    </row>
    <row r="21" spans="1:15" ht="16.2">
      <c r="A21" s="14" t="s">
        <v>36</v>
      </c>
      <c r="B21" s="86">
        <f>J20</f>
        <v>40</v>
      </c>
      <c r="C21" s="89">
        <v>620</v>
      </c>
      <c r="D21" s="87">
        <v>0</v>
      </c>
      <c r="E21" s="89">
        <f>B21+C21+D21</f>
        <v>660</v>
      </c>
      <c r="F21" s="88"/>
      <c r="G21" s="89">
        <v>560</v>
      </c>
      <c r="H21" s="89">
        <v>60</v>
      </c>
      <c r="I21" s="89">
        <f>SUM(G21:H21)</f>
        <v>620</v>
      </c>
      <c r="J21" s="86">
        <f>E21-I21</f>
        <v>40</v>
      </c>
      <c r="K21" s="15"/>
      <c r="L21" s="15"/>
      <c r="M21" s="15"/>
      <c r="N21" s="15"/>
      <c r="O21" s="15"/>
    </row>
    <row r="22" spans="1:15" ht="16.2">
      <c r="A22" s="47" t="s">
        <v>86</v>
      </c>
      <c r="B22" s="15"/>
      <c r="C22" s="81"/>
      <c r="D22" s="81"/>
      <c r="E22" s="81"/>
      <c r="F22" s="81"/>
      <c r="G22" s="81"/>
      <c r="H22" s="81"/>
      <c r="I22" s="15"/>
      <c r="J22" s="15"/>
      <c r="K22" s="15"/>
      <c r="L22" s="15"/>
      <c r="M22" s="15"/>
      <c r="N22" s="15"/>
      <c r="O22" s="15"/>
    </row>
    <row r="23" spans="1:15" ht="14.4">
      <c r="A23" s="15" t="s">
        <v>91</v>
      </c>
      <c r="B23" s="84"/>
      <c r="C23" s="84"/>
      <c r="D23" s="84"/>
      <c r="E23" s="84"/>
      <c r="F23" s="84"/>
      <c r="G23" s="84"/>
      <c r="H23" s="84"/>
      <c r="I23" s="15"/>
      <c r="J23" s="15"/>
      <c r="K23" s="15"/>
      <c r="L23" s="15"/>
      <c r="M23" s="15"/>
      <c r="N23" s="15"/>
      <c r="O23" s="15"/>
    </row>
    <row r="24" spans="1:15" ht="13.8">
      <c r="A24" s="15"/>
      <c r="B24" s="33"/>
      <c r="C24" s="33"/>
      <c r="D24" s="33"/>
      <c r="E24" s="33"/>
      <c r="F24" s="33"/>
      <c r="G24" s="33"/>
      <c r="H24" s="33"/>
      <c r="I24" s="15"/>
      <c r="J24" s="15"/>
      <c r="K24" s="15"/>
      <c r="L24" s="15"/>
      <c r="M24" s="15"/>
      <c r="N24" s="15"/>
      <c r="O24" s="15"/>
    </row>
    <row r="25" spans="1:15" ht="13.8">
      <c r="A25" s="15"/>
      <c r="B25" s="33"/>
      <c r="C25" s="38"/>
      <c r="D25" s="33"/>
      <c r="E25" s="33"/>
      <c r="F25" s="33"/>
      <c r="G25" s="33"/>
      <c r="H25" s="33"/>
      <c r="I25" s="15"/>
      <c r="J25" s="15"/>
      <c r="K25" s="15"/>
      <c r="L25" s="15"/>
      <c r="M25" s="15"/>
      <c r="N25" s="15"/>
      <c r="O25" s="15"/>
    </row>
    <row r="26" spans="1:15" ht="13.8">
      <c r="A26" s="14" t="s">
        <v>6</v>
      </c>
      <c r="B26" s="14"/>
      <c r="C26" s="14"/>
      <c r="D26" s="14"/>
      <c r="E26" s="14"/>
      <c r="F26" s="14"/>
      <c r="G26" s="14"/>
      <c r="H26" s="14"/>
      <c r="I26" s="15"/>
      <c r="J26" s="14"/>
      <c r="K26" s="15"/>
      <c r="L26" s="15"/>
      <c r="M26" s="15"/>
      <c r="N26" s="15"/>
      <c r="O26" s="15"/>
    </row>
    <row r="27" spans="1:15" ht="13.8">
      <c r="A27" s="15"/>
      <c r="B27" s="164" t="s">
        <v>57</v>
      </c>
      <c r="C27" s="164"/>
      <c r="D27" s="164"/>
      <c r="E27" s="164"/>
      <c r="F27" s="15"/>
      <c r="G27" s="164" t="s">
        <v>58</v>
      </c>
      <c r="H27" s="164"/>
      <c r="I27" s="164"/>
      <c r="J27" s="15"/>
      <c r="K27" s="15"/>
      <c r="L27" s="15"/>
      <c r="M27" s="15"/>
      <c r="N27" s="15"/>
      <c r="O27" s="15"/>
    </row>
    <row r="28" spans="1:15" ht="13.8">
      <c r="A28" s="15" t="s">
        <v>17</v>
      </c>
      <c r="B28" s="17" t="s">
        <v>69</v>
      </c>
      <c r="C28" s="20"/>
      <c r="D28" s="20"/>
      <c r="E28" s="20"/>
      <c r="F28" s="20"/>
      <c r="G28" s="20"/>
      <c r="H28" s="20"/>
      <c r="I28" s="20"/>
      <c r="J28" s="17" t="s">
        <v>59</v>
      </c>
      <c r="K28" s="15"/>
      <c r="L28" s="15"/>
      <c r="M28" s="15"/>
      <c r="N28" s="15"/>
      <c r="O28" s="15"/>
    </row>
    <row r="29" spans="1:15" ht="13.8">
      <c r="A29" s="21" t="s">
        <v>60</v>
      </c>
      <c r="B29" s="23" t="s">
        <v>61</v>
      </c>
      <c r="C29" s="23" t="s">
        <v>26</v>
      </c>
      <c r="D29" s="25" t="s">
        <v>70</v>
      </c>
      <c r="E29" s="23" t="s">
        <v>84</v>
      </c>
      <c r="F29" s="24"/>
      <c r="G29" s="23" t="s">
        <v>63</v>
      </c>
      <c r="H29" s="23" t="s">
        <v>30</v>
      </c>
      <c r="I29" s="23" t="s">
        <v>62</v>
      </c>
      <c r="J29" s="23" t="s">
        <v>65</v>
      </c>
      <c r="K29" s="15"/>
      <c r="L29" s="15"/>
      <c r="M29" s="15"/>
      <c r="N29" s="15"/>
      <c r="O29" s="15"/>
    </row>
    <row r="30" spans="1:15" ht="14.4">
      <c r="A30" s="15"/>
      <c r="B30" s="167" t="s">
        <v>74</v>
      </c>
      <c r="C30" s="167"/>
      <c r="D30" s="167"/>
      <c r="E30" s="167"/>
      <c r="F30" s="167"/>
      <c r="G30" s="167"/>
      <c r="H30" s="167"/>
      <c r="I30" s="167"/>
      <c r="J30" s="167"/>
      <c r="K30" s="15"/>
      <c r="L30" s="15"/>
      <c r="M30" s="15"/>
      <c r="N30" s="15"/>
      <c r="O30" s="15"/>
    </row>
    <row r="31" spans="1:15" ht="13.8">
      <c r="A31" s="15" t="s">
        <v>34</v>
      </c>
      <c r="B31" s="83">
        <v>48.207999999999998</v>
      </c>
      <c r="C31" s="85">
        <v>430</v>
      </c>
      <c r="D31" s="83">
        <v>24.878063955389997</v>
      </c>
      <c r="E31" s="91">
        <f>B31+C31+D31</f>
        <v>503.08606395538999</v>
      </c>
      <c r="F31" s="84"/>
      <c r="G31" s="85">
        <f>I31-H31</f>
        <v>325.68860562582</v>
      </c>
      <c r="H31" s="85">
        <v>127.69945832956999</v>
      </c>
      <c r="I31" s="85">
        <f>E31-J31</f>
        <v>453.38806395539001</v>
      </c>
      <c r="J31" s="85">
        <v>49.698</v>
      </c>
      <c r="K31" s="15"/>
      <c r="L31" s="15"/>
      <c r="M31" s="15"/>
      <c r="N31" s="15"/>
      <c r="O31" s="15"/>
    </row>
    <row r="32" spans="1:15" ht="16.2">
      <c r="A32" s="15" t="s">
        <v>35</v>
      </c>
      <c r="B32" s="83">
        <f>J31</f>
        <v>49.698</v>
      </c>
      <c r="C32" s="85">
        <v>380</v>
      </c>
      <c r="D32" s="83">
        <v>20</v>
      </c>
      <c r="E32" s="91">
        <f>B32+C32+D32</f>
        <v>449.69799999999998</v>
      </c>
      <c r="F32" s="84"/>
      <c r="G32" s="85">
        <v>319.69799999999998</v>
      </c>
      <c r="H32" s="85">
        <v>80</v>
      </c>
      <c r="I32" s="85">
        <f>SUM(G32:H32)</f>
        <v>399.69799999999998</v>
      </c>
      <c r="J32" s="85">
        <f>E32-I32</f>
        <v>50</v>
      </c>
      <c r="K32" s="15"/>
      <c r="L32" s="15"/>
      <c r="M32" s="15"/>
      <c r="N32" s="15"/>
      <c r="O32" s="15"/>
    </row>
    <row r="33" spans="1:17" ht="16.2">
      <c r="A33" s="14" t="s">
        <v>36</v>
      </c>
      <c r="B33" s="87">
        <f>J32</f>
        <v>50</v>
      </c>
      <c r="C33" s="89">
        <v>370</v>
      </c>
      <c r="D33" s="87">
        <v>20</v>
      </c>
      <c r="E33" s="92">
        <f>B33+C33+D33</f>
        <v>440</v>
      </c>
      <c r="F33" s="88"/>
      <c r="G33" s="89">
        <v>320</v>
      </c>
      <c r="H33" s="89">
        <v>70</v>
      </c>
      <c r="I33" s="89">
        <f>SUM(G33:H33)</f>
        <v>390</v>
      </c>
      <c r="J33" s="89">
        <f>E33-I33</f>
        <v>50</v>
      </c>
      <c r="K33" s="15"/>
      <c r="L33" s="15"/>
      <c r="M33" s="15"/>
      <c r="N33" s="15"/>
      <c r="O33" s="15"/>
    </row>
    <row r="34" spans="1:17" ht="16.2">
      <c r="A34" s="47" t="s">
        <v>86</v>
      </c>
      <c r="B34" s="15"/>
      <c r="C34" s="81"/>
      <c r="D34" s="81"/>
      <c r="E34" s="81"/>
      <c r="F34" s="81"/>
      <c r="G34" s="81"/>
      <c r="H34" s="81"/>
      <c r="I34" s="15"/>
      <c r="J34" s="15"/>
      <c r="K34" s="15"/>
      <c r="L34" s="15"/>
      <c r="M34" s="15"/>
      <c r="N34" s="15"/>
      <c r="O34" s="15"/>
    </row>
    <row r="35" spans="1:17" ht="14.4">
      <c r="A35" s="15" t="s">
        <v>92</v>
      </c>
      <c r="B35" s="33"/>
      <c r="C35" s="38"/>
      <c r="D35" s="33"/>
      <c r="E35" s="33"/>
      <c r="F35" s="33"/>
      <c r="G35" s="33"/>
      <c r="H35" s="33"/>
      <c r="I35" s="15"/>
      <c r="J35" s="15"/>
      <c r="K35" s="15"/>
      <c r="L35" s="15"/>
      <c r="M35" s="15"/>
      <c r="N35" s="15"/>
      <c r="O35" s="15"/>
    </row>
    <row r="36" spans="1:17" ht="13.8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7" ht="13.8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7" ht="13.8">
      <c r="A38" s="14" t="s">
        <v>7</v>
      </c>
      <c r="B38" s="14"/>
      <c r="C38" s="14"/>
      <c r="D38" s="14"/>
      <c r="E38" s="14"/>
      <c r="F38" s="14"/>
      <c r="G38" s="14"/>
      <c r="H38" s="14"/>
      <c r="I38" s="14"/>
      <c r="J38" s="15"/>
      <c r="K38" s="15"/>
      <c r="L38" s="15"/>
      <c r="M38" s="15"/>
      <c r="N38" s="15"/>
      <c r="O38" s="15"/>
    </row>
    <row r="39" spans="1:17" ht="13.8">
      <c r="A39" s="15"/>
      <c r="B39" s="164" t="s">
        <v>13</v>
      </c>
      <c r="C39" s="164"/>
      <c r="D39" s="17" t="s">
        <v>14</v>
      </c>
      <c r="E39" s="164" t="s">
        <v>15</v>
      </c>
      <c r="F39" s="164"/>
      <c r="G39" s="164"/>
      <c r="H39" s="164"/>
      <c r="I39" s="15"/>
      <c r="J39" s="164" t="s">
        <v>58</v>
      </c>
      <c r="K39" s="164"/>
      <c r="L39" s="164"/>
      <c r="M39" s="164"/>
      <c r="N39" s="164"/>
      <c r="O39" s="80"/>
    </row>
    <row r="40" spans="1:17" ht="13.8">
      <c r="A40" s="15" t="s">
        <v>17</v>
      </c>
      <c r="B40" s="17" t="s">
        <v>18</v>
      </c>
      <c r="C40" s="17" t="s">
        <v>19</v>
      </c>
      <c r="D40" s="15"/>
      <c r="E40" s="17" t="s">
        <v>69</v>
      </c>
      <c r="F40" s="17"/>
      <c r="G40" s="17"/>
      <c r="H40" s="17"/>
      <c r="I40" s="15"/>
      <c r="J40" s="61" t="s">
        <v>89</v>
      </c>
      <c r="K40" s="17"/>
      <c r="L40" s="17" t="s">
        <v>22</v>
      </c>
      <c r="M40" s="17"/>
      <c r="N40" s="17"/>
      <c r="O40" s="17" t="s">
        <v>59</v>
      </c>
    </row>
    <row r="41" spans="1:17" ht="13.8">
      <c r="A41" s="21" t="s">
        <v>79</v>
      </c>
      <c r="B41" s="22"/>
      <c r="C41" s="22"/>
      <c r="D41" s="22"/>
      <c r="E41" s="23" t="s">
        <v>61</v>
      </c>
      <c r="F41" s="23" t="s">
        <v>26</v>
      </c>
      <c r="G41" s="23" t="s">
        <v>70</v>
      </c>
      <c r="H41" s="23" t="s">
        <v>84</v>
      </c>
      <c r="I41" s="23"/>
      <c r="J41" s="23" t="s">
        <v>93</v>
      </c>
      <c r="K41" s="23" t="s">
        <v>82</v>
      </c>
      <c r="L41" s="23" t="s">
        <v>29</v>
      </c>
      <c r="M41" s="25" t="s">
        <v>30</v>
      </c>
      <c r="N41" s="23" t="s">
        <v>62</v>
      </c>
      <c r="O41" s="23" t="s">
        <v>65</v>
      </c>
    </row>
    <row r="42" spans="1:17" ht="14.4">
      <c r="A42" s="15"/>
      <c r="B42" s="168" t="s">
        <v>94</v>
      </c>
      <c r="C42" s="169"/>
      <c r="D42" s="93" t="s">
        <v>95</v>
      </c>
      <c r="E42" s="170" t="s">
        <v>96</v>
      </c>
      <c r="F42" s="167"/>
      <c r="G42" s="167"/>
      <c r="H42" s="167"/>
      <c r="I42" s="167"/>
      <c r="J42" s="167"/>
      <c r="K42" s="167"/>
      <c r="L42" s="167"/>
      <c r="M42" s="167"/>
      <c r="N42" s="167"/>
      <c r="O42" s="169"/>
    </row>
    <row r="43" spans="1:17" ht="13.8">
      <c r="A43" s="15"/>
      <c r="B43" s="17"/>
      <c r="C43" s="1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7" ht="13.8">
      <c r="A44" s="15" t="s">
        <v>34</v>
      </c>
      <c r="B44" s="82">
        <v>1580.2</v>
      </c>
      <c r="C44" s="82">
        <v>1540.1</v>
      </c>
      <c r="D44" s="82">
        <f>F44*1000/C44</f>
        <v>4130.4662034932799</v>
      </c>
      <c r="E44" s="82">
        <v>1968.162</v>
      </c>
      <c r="F44" s="82">
        <v>6361.3310000000001</v>
      </c>
      <c r="G44" s="85">
        <v>107.03</v>
      </c>
      <c r="H44" s="82">
        <f>SUM(E44:G44)</f>
        <v>8436.523000000001</v>
      </c>
      <c r="I44" s="82"/>
      <c r="J44" s="82">
        <v>3313.1</v>
      </c>
      <c r="K44" s="82">
        <v>842.43200000000002</v>
      </c>
      <c r="L44" s="85">
        <f t="shared" ref="L44" si="0">N44-J44-K44-M44</f>
        <v>736.59400000000142</v>
      </c>
      <c r="M44" s="85">
        <v>1184.1400000000001</v>
      </c>
      <c r="N44" s="82">
        <f>H44-O44</f>
        <v>6076.2660000000014</v>
      </c>
      <c r="O44" s="82">
        <v>2360.2570000000001</v>
      </c>
      <c r="P44" s="110"/>
      <c r="Q44" s="110"/>
    </row>
    <row r="45" spans="1:17" ht="16.2">
      <c r="A45" s="15" t="s">
        <v>35</v>
      </c>
      <c r="B45" s="82">
        <v>1450.3</v>
      </c>
      <c r="C45" s="82">
        <v>1385.4</v>
      </c>
      <c r="D45" s="82">
        <f>F45*1000/C45</f>
        <v>4019.1641403204849</v>
      </c>
      <c r="E45" s="82">
        <f>O44</f>
        <v>2360.2570000000001</v>
      </c>
      <c r="F45" s="82">
        <v>5568.15</v>
      </c>
      <c r="G45" s="85">
        <v>100</v>
      </c>
      <c r="H45" s="82">
        <f>SUM(E45:G45)</f>
        <v>8028.4069999999992</v>
      </c>
      <c r="I45" s="82"/>
      <c r="J45" s="82">
        <v>3262.05</v>
      </c>
      <c r="K45" s="82">
        <v>800</v>
      </c>
      <c r="L45" s="85">
        <v>734.06499999999994</v>
      </c>
      <c r="M45" s="85">
        <v>1185</v>
      </c>
      <c r="N45" s="82">
        <f>SUM(J45:M45)</f>
        <v>5981.1149999999998</v>
      </c>
      <c r="O45" s="82">
        <f>H45-N45</f>
        <v>2047.2919999999995</v>
      </c>
      <c r="P45" s="110"/>
      <c r="Q45" s="110"/>
    </row>
    <row r="46" spans="1:17" ht="16.2">
      <c r="A46" s="14" t="s">
        <v>36</v>
      </c>
      <c r="B46" s="86">
        <v>1578</v>
      </c>
      <c r="C46" s="86">
        <v>1537</v>
      </c>
      <c r="D46" s="86">
        <v>4046.75</v>
      </c>
      <c r="E46" s="86">
        <f>O45</f>
        <v>2047.2919999999995</v>
      </c>
      <c r="F46" s="86">
        <f>C46*D46/1000</f>
        <v>6219.8547500000004</v>
      </c>
      <c r="G46" s="89">
        <v>115</v>
      </c>
      <c r="H46" s="86">
        <f>SUM(E46:G46)</f>
        <v>8382.1467499999999</v>
      </c>
      <c r="I46" s="86"/>
      <c r="J46" s="86">
        <v>3329.06</v>
      </c>
      <c r="K46" s="86">
        <v>850</v>
      </c>
      <c r="L46" s="89">
        <v>758.5</v>
      </c>
      <c r="M46" s="89">
        <v>1300</v>
      </c>
      <c r="N46" s="86">
        <f>SUM(J46:M46)</f>
        <v>6237.5599999999995</v>
      </c>
      <c r="O46" s="86">
        <f>H46-N46</f>
        <v>2144.5867500000004</v>
      </c>
      <c r="P46" s="110"/>
      <c r="Q46" s="110"/>
    </row>
    <row r="47" spans="1:17" ht="16.2">
      <c r="A47" s="47" t="s">
        <v>86</v>
      </c>
      <c r="B47" s="15"/>
      <c r="C47" s="81"/>
      <c r="D47" s="81"/>
      <c r="E47" s="81"/>
      <c r="F47" s="81"/>
      <c r="G47" s="81"/>
      <c r="H47" s="81"/>
      <c r="I47" s="15"/>
      <c r="J47" s="15"/>
      <c r="K47" s="15"/>
      <c r="L47" s="15"/>
      <c r="M47" s="15"/>
      <c r="N47" s="15"/>
      <c r="O47" s="15"/>
    </row>
    <row r="48" spans="1:17" ht="14.4">
      <c r="A48" s="15" t="s">
        <v>97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14.4">
      <c r="A49" s="15" t="s">
        <v>88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13.8">
      <c r="A50" s="20" t="s">
        <v>56</v>
      </c>
      <c r="B50" s="94">
        <f>Contents!A16</f>
        <v>45153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ht="44.4" customHeight="1">
      <c r="A51" s="95"/>
      <c r="B51" s="96"/>
      <c r="C51" s="96"/>
      <c r="D51" s="96"/>
      <c r="E51" s="96"/>
      <c r="F51" s="96"/>
      <c r="G51" s="96"/>
      <c r="H51" s="96"/>
      <c r="I51" s="96"/>
      <c r="J51" s="126"/>
      <c r="K51" s="96"/>
      <c r="L51" s="96"/>
      <c r="M51" s="96"/>
      <c r="N51" s="96"/>
      <c r="O51" s="96"/>
    </row>
    <row r="52" spans="1:15" ht="15.6">
      <c r="G52" s="70"/>
      <c r="H52" s="70"/>
    </row>
    <row r="53" spans="1:15" ht="15.6">
      <c r="G53" s="70"/>
      <c r="H53" s="70"/>
    </row>
    <row r="54" spans="1:15" ht="15.6">
      <c r="G54" s="70"/>
      <c r="H54" s="70"/>
    </row>
  </sheetData>
  <mergeCells count="14">
    <mergeCell ref="B39:C39"/>
    <mergeCell ref="B42:C42"/>
    <mergeCell ref="B18:J18"/>
    <mergeCell ref="E39:H39"/>
    <mergeCell ref="B30:J30"/>
    <mergeCell ref="E42:O42"/>
    <mergeCell ref="J39:N39"/>
    <mergeCell ref="G2:J2"/>
    <mergeCell ref="G15:I15"/>
    <mergeCell ref="B15:E15"/>
    <mergeCell ref="B2:E2"/>
    <mergeCell ref="B27:E27"/>
    <mergeCell ref="G27:I27"/>
    <mergeCell ref="B5:K5"/>
  </mergeCells>
  <phoneticPr fontId="32" type="noConversion"/>
  <pageMargins left="0.75" right="0.75" top="1" bottom="1" header="0.5" footer="0.5"/>
  <pageSetup scale="56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I48"/>
  <sheetViews>
    <sheetView showGridLines="0" zoomScale="70" zoomScaleNormal="70" workbookViewId="0"/>
  </sheetViews>
  <sheetFormatPr defaultColWidth="9.109375" defaultRowHeight="13.2"/>
  <cols>
    <col min="1" max="1" width="11.6640625" customWidth="1"/>
    <col min="2" max="2" width="18.88671875" bestFit="1" customWidth="1"/>
    <col min="3" max="3" width="22.109375" bestFit="1" customWidth="1"/>
    <col min="4" max="5" width="25.6640625" bestFit="1" customWidth="1"/>
    <col min="6" max="6" width="16.6640625" bestFit="1" customWidth="1"/>
    <col min="7" max="7" width="18.88671875" bestFit="1" customWidth="1"/>
  </cols>
  <sheetData>
    <row r="1" spans="1:7" ht="15.6" customHeight="1">
      <c r="A1" s="14" t="s">
        <v>8</v>
      </c>
      <c r="B1" s="14"/>
      <c r="C1" s="14"/>
      <c r="D1" s="14"/>
      <c r="E1" s="14"/>
      <c r="F1" s="14"/>
      <c r="G1" s="14"/>
    </row>
    <row r="2" spans="1:7" ht="15.6" customHeight="1">
      <c r="A2" s="15" t="s">
        <v>98</v>
      </c>
      <c r="B2" s="17" t="s">
        <v>99</v>
      </c>
      <c r="C2" s="17" t="s">
        <v>100</v>
      </c>
      <c r="D2" s="17" t="s">
        <v>101</v>
      </c>
      <c r="E2" s="17" t="s">
        <v>102</v>
      </c>
      <c r="F2" s="17" t="s">
        <v>103</v>
      </c>
      <c r="G2" s="17" t="s">
        <v>104</v>
      </c>
    </row>
    <row r="3" spans="1:7" ht="15.6" customHeight="1">
      <c r="A3" s="14" t="s">
        <v>105</v>
      </c>
      <c r="B3" s="24"/>
      <c r="C3" s="52"/>
      <c r="D3" s="52"/>
      <c r="E3" s="52"/>
      <c r="F3" s="52"/>
      <c r="G3" s="52"/>
    </row>
    <row r="4" spans="1:7" ht="14.4">
      <c r="A4" s="53"/>
      <c r="B4" s="54" t="s">
        <v>106</v>
      </c>
      <c r="C4" s="54" t="s">
        <v>107</v>
      </c>
      <c r="D4" s="54" t="s">
        <v>108</v>
      </c>
      <c r="E4" s="54" t="s">
        <v>108</v>
      </c>
      <c r="F4" s="54" t="s">
        <v>109</v>
      </c>
      <c r="G4" s="54" t="s">
        <v>106</v>
      </c>
    </row>
    <row r="5" spans="1:7" ht="13.8">
      <c r="A5" s="15"/>
      <c r="B5" s="15"/>
      <c r="C5" s="15"/>
      <c r="D5" s="17"/>
      <c r="E5" s="15"/>
      <c r="F5" s="15"/>
      <c r="G5" s="15"/>
    </row>
    <row r="6" spans="1:7" ht="13.8">
      <c r="A6" s="15" t="s">
        <v>110</v>
      </c>
      <c r="B6" s="55">
        <v>11.3</v>
      </c>
      <c r="C6" s="55">
        <v>161</v>
      </c>
      <c r="D6" s="55">
        <v>23.3</v>
      </c>
      <c r="E6" s="55">
        <v>19.3</v>
      </c>
      <c r="F6" s="55">
        <v>22.5</v>
      </c>
      <c r="G6" s="55">
        <v>12.2</v>
      </c>
    </row>
    <row r="7" spans="1:7" ht="13.8">
      <c r="A7" s="15" t="s">
        <v>111</v>
      </c>
      <c r="B7" s="55">
        <v>12.5</v>
      </c>
      <c r="C7" s="55">
        <v>260</v>
      </c>
      <c r="D7" s="55">
        <v>29.1</v>
      </c>
      <c r="E7" s="55">
        <v>24</v>
      </c>
      <c r="F7" s="55">
        <v>31.8</v>
      </c>
      <c r="G7" s="55">
        <v>13.9</v>
      </c>
    </row>
    <row r="8" spans="1:7" ht="13.8">
      <c r="A8" s="15" t="s">
        <v>112</v>
      </c>
      <c r="B8" s="55">
        <v>14.4</v>
      </c>
      <c r="C8" s="55">
        <v>252</v>
      </c>
      <c r="D8" s="55">
        <v>25.4</v>
      </c>
      <c r="E8" s="55">
        <v>26.5</v>
      </c>
      <c r="F8" s="55">
        <v>30.1</v>
      </c>
      <c r="G8" s="55">
        <v>13.8</v>
      </c>
    </row>
    <row r="9" spans="1:7" ht="13.8">
      <c r="A9" s="15" t="s">
        <v>113</v>
      </c>
      <c r="B9" s="55">
        <v>13</v>
      </c>
      <c r="C9" s="55">
        <v>246</v>
      </c>
      <c r="D9" s="55">
        <v>21.4</v>
      </c>
      <c r="E9" s="55">
        <v>20.6</v>
      </c>
      <c r="F9" s="55">
        <v>24.9</v>
      </c>
      <c r="G9" s="55">
        <v>13.8</v>
      </c>
    </row>
    <row r="10" spans="1:7" ht="13.8">
      <c r="A10" s="15" t="s">
        <v>114</v>
      </c>
      <c r="B10" s="55">
        <v>10.1</v>
      </c>
      <c r="C10" s="55">
        <v>194</v>
      </c>
      <c r="D10" s="55">
        <v>21.7</v>
      </c>
      <c r="E10" s="55">
        <v>16.899999999999999</v>
      </c>
      <c r="F10" s="55">
        <v>22</v>
      </c>
      <c r="G10" s="55">
        <v>11.8</v>
      </c>
    </row>
    <row r="11" spans="1:7" ht="13.8">
      <c r="A11" s="15" t="s">
        <v>115</v>
      </c>
      <c r="B11" s="55">
        <v>8.9499999999999993</v>
      </c>
      <c r="C11" s="55">
        <v>227</v>
      </c>
      <c r="D11" s="55">
        <v>19.600000000000001</v>
      </c>
      <c r="E11" s="55">
        <v>15.6</v>
      </c>
      <c r="F11" s="55">
        <v>19.3</v>
      </c>
      <c r="G11" s="55">
        <v>8.9499999999999993</v>
      </c>
    </row>
    <row r="12" spans="1:7" ht="13.8">
      <c r="A12" s="15" t="s">
        <v>116</v>
      </c>
      <c r="B12" s="55">
        <v>9.4700000000000006</v>
      </c>
      <c r="C12" s="55">
        <v>195</v>
      </c>
      <c r="D12" s="55">
        <v>17.399999999999999</v>
      </c>
      <c r="E12" s="55">
        <v>16.600000000000001</v>
      </c>
      <c r="F12" s="55">
        <v>19.7</v>
      </c>
      <c r="G12" s="55">
        <v>8</v>
      </c>
    </row>
    <row r="13" spans="1:7" ht="13.8">
      <c r="A13" s="15" t="s">
        <v>117</v>
      </c>
      <c r="B13" s="55">
        <v>9.33</v>
      </c>
      <c r="C13" s="55">
        <v>142</v>
      </c>
      <c r="D13" s="55">
        <v>17.2</v>
      </c>
      <c r="E13" s="55">
        <v>17.5</v>
      </c>
      <c r="F13" s="55">
        <v>22.9</v>
      </c>
      <c r="G13" s="55">
        <v>9.5299999999999994</v>
      </c>
    </row>
    <row r="14" spans="1:7" ht="13.8">
      <c r="A14" s="15" t="s">
        <v>118</v>
      </c>
      <c r="B14" s="55">
        <v>8.48</v>
      </c>
      <c r="C14" s="55">
        <v>155</v>
      </c>
      <c r="D14" s="55">
        <v>17.399999999999999</v>
      </c>
      <c r="E14" s="55">
        <v>15.8</v>
      </c>
      <c r="F14" s="55">
        <v>21.5</v>
      </c>
      <c r="G14" s="55">
        <v>9.89</v>
      </c>
    </row>
    <row r="15" spans="1:7" ht="13.8">
      <c r="A15" s="15" t="s">
        <v>119</v>
      </c>
      <c r="B15" s="55">
        <v>8.57</v>
      </c>
      <c r="C15" s="55">
        <v>161</v>
      </c>
      <c r="D15" s="55">
        <v>19.5</v>
      </c>
      <c r="E15" s="55">
        <v>14.8</v>
      </c>
      <c r="F15" s="55">
        <v>20.5</v>
      </c>
      <c r="G15" s="55">
        <v>9.15</v>
      </c>
    </row>
    <row r="16" spans="1:7" ht="13.8">
      <c r="A16" s="15" t="s">
        <v>120</v>
      </c>
      <c r="B16" s="55">
        <v>10.8</v>
      </c>
      <c r="C16" s="55">
        <v>194</v>
      </c>
      <c r="D16" s="55">
        <v>21.3</v>
      </c>
      <c r="E16" s="55">
        <v>18.400000000000002</v>
      </c>
      <c r="F16" s="55">
        <v>21</v>
      </c>
      <c r="G16" s="55">
        <v>11.1</v>
      </c>
    </row>
    <row r="17" spans="1:9" ht="13.8">
      <c r="A17" s="15" t="s">
        <v>34</v>
      </c>
      <c r="B17" s="55">
        <v>13.3</v>
      </c>
      <c r="C17" s="55">
        <v>243</v>
      </c>
      <c r="D17" s="55">
        <v>32.9</v>
      </c>
      <c r="E17" s="55">
        <v>32.9</v>
      </c>
      <c r="F17" s="55">
        <v>24.3</v>
      </c>
      <c r="G17" s="55">
        <v>25.9</v>
      </c>
    </row>
    <row r="18" spans="1:9" ht="16.2">
      <c r="A18" s="15" t="s">
        <v>121</v>
      </c>
      <c r="B18" s="55">
        <v>14.200000000000001</v>
      </c>
      <c r="C18" s="55">
        <v>332</v>
      </c>
      <c r="D18" s="55">
        <v>26.75</v>
      </c>
      <c r="E18" s="55">
        <v>29.8</v>
      </c>
      <c r="F18" s="55">
        <v>27</v>
      </c>
      <c r="G18" s="158">
        <v>17.5</v>
      </c>
      <c r="H18" s="118"/>
    </row>
    <row r="19" spans="1:9" ht="16.2">
      <c r="A19" s="15" t="s">
        <v>122</v>
      </c>
      <c r="B19" s="55">
        <v>12.700000000000001</v>
      </c>
      <c r="C19" s="55">
        <v>300</v>
      </c>
      <c r="D19" s="55">
        <v>24.6</v>
      </c>
      <c r="E19" s="55">
        <v>25</v>
      </c>
      <c r="F19" s="55">
        <v>27</v>
      </c>
      <c r="G19" s="158">
        <v>13.249600000000001</v>
      </c>
      <c r="H19" s="118"/>
      <c r="I19" s="127"/>
    </row>
    <row r="20" spans="1:9" ht="13.8">
      <c r="A20" s="15"/>
      <c r="B20" s="56"/>
      <c r="C20" s="57"/>
      <c r="D20" s="58"/>
      <c r="E20" s="58"/>
      <c r="F20" s="57"/>
      <c r="G20" s="59"/>
      <c r="H20" s="48"/>
    </row>
    <row r="21" spans="1:9" ht="13.8">
      <c r="A21" s="60" t="s">
        <v>34</v>
      </c>
      <c r="B21" s="55"/>
      <c r="C21" s="55"/>
      <c r="D21" s="55"/>
      <c r="E21" s="55"/>
      <c r="F21" s="55"/>
      <c r="G21" s="55"/>
    </row>
    <row r="22" spans="1:9" ht="13.8">
      <c r="A22" s="15" t="s">
        <v>37</v>
      </c>
      <c r="B22" s="55">
        <v>12.2</v>
      </c>
      <c r="C22" s="55">
        <v>235</v>
      </c>
      <c r="D22" s="55">
        <v>30.7</v>
      </c>
      <c r="E22" s="55">
        <v>28.7</v>
      </c>
      <c r="F22" s="55">
        <v>22.2</v>
      </c>
      <c r="G22" s="55">
        <v>19.8</v>
      </c>
    </row>
    <row r="23" spans="1:9" ht="13.8">
      <c r="A23" s="15" t="s">
        <v>38</v>
      </c>
      <c r="B23" s="55">
        <v>11.9</v>
      </c>
      <c r="C23" s="55">
        <v>244</v>
      </c>
      <c r="D23" s="55">
        <v>30.5</v>
      </c>
      <c r="E23" s="55">
        <v>29.6</v>
      </c>
      <c r="F23" s="55">
        <v>23.9</v>
      </c>
      <c r="G23" s="55">
        <v>26.2</v>
      </c>
    </row>
    <row r="24" spans="1:9" ht="13.8">
      <c r="A24" s="15" t="s">
        <v>39</v>
      </c>
      <c r="B24" s="55">
        <v>12.1</v>
      </c>
      <c r="C24" s="55">
        <v>244</v>
      </c>
      <c r="D24" s="55">
        <v>30.3</v>
      </c>
      <c r="E24" s="55">
        <v>31.7</v>
      </c>
      <c r="F24" s="55">
        <v>25.4</v>
      </c>
      <c r="G24" s="55">
        <v>26.1</v>
      </c>
    </row>
    <row r="25" spans="1:9" ht="13.8">
      <c r="A25" s="15" t="s">
        <v>41</v>
      </c>
      <c r="B25" s="55">
        <v>12.5</v>
      </c>
      <c r="C25" s="55">
        <v>239</v>
      </c>
      <c r="D25" s="55">
        <v>31.6</v>
      </c>
      <c r="E25" s="55">
        <v>32.5</v>
      </c>
      <c r="F25" s="55">
        <v>24.1</v>
      </c>
      <c r="G25" s="55">
        <v>31.3</v>
      </c>
    </row>
    <row r="26" spans="1:9" ht="13.8">
      <c r="A26" s="15" t="s">
        <v>42</v>
      </c>
      <c r="B26" s="55">
        <v>12.9</v>
      </c>
      <c r="C26" s="55">
        <v>241</v>
      </c>
      <c r="D26" s="55">
        <v>31</v>
      </c>
      <c r="E26" s="55">
        <v>33.700000000000003</v>
      </c>
      <c r="F26" s="55">
        <v>25.9</v>
      </c>
      <c r="G26" s="55">
        <v>31</v>
      </c>
    </row>
    <row r="27" spans="1:9" ht="13.8">
      <c r="A27" s="15" t="s">
        <v>43</v>
      </c>
      <c r="B27" s="55">
        <v>14.7</v>
      </c>
      <c r="C27" s="55">
        <v>256</v>
      </c>
      <c r="D27" s="55">
        <v>32.200000000000003</v>
      </c>
      <c r="E27" s="55">
        <v>37.5</v>
      </c>
      <c r="F27" s="55">
        <v>24.8</v>
      </c>
      <c r="G27" s="55">
        <v>27.5</v>
      </c>
    </row>
    <row r="28" spans="1:9" ht="13.8">
      <c r="A28" s="15" t="s">
        <v>45</v>
      </c>
      <c r="B28" s="55">
        <v>15.4</v>
      </c>
      <c r="C28" s="55" t="s">
        <v>77</v>
      </c>
      <c r="D28" s="55">
        <v>33.9</v>
      </c>
      <c r="E28" s="55">
        <v>39.200000000000003</v>
      </c>
      <c r="F28" s="55">
        <v>25</v>
      </c>
      <c r="G28" s="55">
        <v>28.9</v>
      </c>
    </row>
    <row r="29" spans="1:9" ht="13.8">
      <c r="A29" s="15" t="s">
        <v>46</v>
      </c>
      <c r="B29" s="55">
        <v>15.8</v>
      </c>
      <c r="C29" s="55" t="s">
        <v>77</v>
      </c>
      <c r="D29" s="55">
        <v>37.1</v>
      </c>
      <c r="E29" s="55">
        <v>41.3</v>
      </c>
      <c r="F29" s="55">
        <v>24.8</v>
      </c>
      <c r="G29" s="55">
        <v>30.2</v>
      </c>
    </row>
    <row r="30" spans="1:9" ht="13.8">
      <c r="A30" s="15" t="s">
        <v>47</v>
      </c>
      <c r="B30" s="55">
        <v>16.100000000000001</v>
      </c>
      <c r="C30" s="55" t="s">
        <v>77</v>
      </c>
      <c r="D30" s="55">
        <v>40.1</v>
      </c>
      <c r="E30" s="55">
        <v>42.9</v>
      </c>
      <c r="F30" s="55">
        <v>25.3</v>
      </c>
      <c r="G30" s="55">
        <v>29.7</v>
      </c>
    </row>
    <row r="31" spans="1:9" ht="13.8">
      <c r="A31" s="15" t="s">
        <v>49</v>
      </c>
      <c r="B31" s="55">
        <v>16.399999999999999</v>
      </c>
      <c r="C31" s="55" t="s">
        <v>77</v>
      </c>
      <c r="D31" s="55">
        <v>40.200000000000003</v>
      </c>
      <c r="E31" s="55">
        <v>45.6</v>
      </c>
      <c r="F31" s="55">
        <v>25.2</v>
      </c>
      <c r="G31" s="55">
        <v>23.9</v>
      </c>
    </row>
    <row r="32" spans="1:9" ht="13.8">
      <c r="A32" s="15" t="s">
        <v>50</v>
      </c>
      <c r="B32" s="55">
        <v>15.5</v>
      </c>
      <c r="C32" s="55">
        <v>360</v>
      </c>
      <c r="D32" s="55">
        <v>36.200000000000003</v>
      </c>
      <c r="E32" s="55">
        <v>42.7</v>
      </c>
      <c r="F32" s="55">
        <v>25.3</v>
      </c>
      <c r="G32" s="55">
        <v>24.2</v>
      </c>
    </row>
    <row r="33" spans="1:7" ht="13.8">
      <c r="A33" s="15" t="s">
        <v>51</v>
      </c>
      <c r="B33" s="55">
        <f>15.3</f>
        <v>15.3</v>
      </c>
      <c r="C33" s="55">
        <f>343</f>
        <v>343</v>
      </c>
      <c r="D33" s="55">
        <f>37.8</f>
        <v>37.799999999999997</v>
      </c>
      <c r="E33" s="55">
        <f>40</f>
        <v>40</v>
      </c>
      <c r="F33" s="55">
        <f>25</f>
        <v>25</v>
      </c>
      <c r="G33" s="55">
        <f>20.8</f>
        <v>20.8</v>
      </c>
    </row>
    <row r="34" spans="1:7" ht="13.8">
      <c r="A34" s="15"/>
      <c r="B34" s="55"/>
      <c r="C34" s="55"/>
      <c r="D34" s="55"/>
      <c r="E34" s="55"/>
      <c r="F34" s="55"/>
      <c r="G34" s="55"/>
    </row>
    <row r="35" spans="1:7" ht="13.8">
      <c r="A35" s="60" t="s">
        <v>53</v>
      </c>
      <c r="B35" s="55"/>
      <c r="C35" s="55"/>
      <c r="D35" s="55"/>
      <c r="E35" s="55"/>
      <c r="F35" s="55"/>
      <c r="G35" s="55"/>
    </row>
    <row r="36" spans="1:7" ht="13.8">
      <c r="A36" s="15" t="s">
        <v>37</v>
      </c>
      <c r="B36" s="55">
        <v>14.1</v>
      </c>
      <c r="C36" s="55">
        <v>361</v>
      </c>
      <c r="D36" s="55">
        <v>32.9</v>
      </c>
      <c r="E36" s="55">
        <v>28.1</v>
      </c>
      <c r="F36" s="55">
        <v>25.7</v>
      </c>
      <c r="G36" s="55">
        <v>18.899999999999999</v>
      </c>
    </row>
    <row r="37" spans="1:7" ht="13.8">
      <c r="A37" s="15" t="s">
        <v>38</v>
      </c>
      <c r="B37" s="55">
        <v>13.5</v>
      </c>
      <c r="C37" s="55">
        <v>338</v>
      </c>
      <c r="D37" s="55">
        <v>29.3</v>
      </c>
      <c r="E37" s="55">
        <v>28.1</v>
      </c>
      <c r="F37" s="55">
        <v>26.6</v>
      </c>
      <c r="G37" s="55">
        <v>18.600000000000001</v>
      </c>
    </row>
    <row r="38" spans="1:7" ht="13.8">
      <c r="A38" s="15" t="s">
        <v>39</v>
      </c>
      <c r="B38" s="55">
        <v>14</v>
      </c>
      <c r="C38" s="55">
        <v>323</v>
      </c>
      <c r="D38" s="55">
        <v>28.4</v>
      </c>
      <c r="E38" s="55">
        <v>29.2</v>
      </c>
      <c r="F38" s="55">
        <v>29.9</v>
      </c>
      <c r="G38" s="55">
        <v>19.5</v>
      </c>
    </row>
    <row r="39" spans="1:7" ht="13.8">
      <c r="A39" s="15" t="s">
        <v>41</v>
      </c>
      <c r="B39" s="55">
        <v>14.4</v>
      </c>
      <c r="C39" s="55">
        <v>329</v>
      </c>
      <c r="D39" s="55">
        <v>29.5</v>
      </c>
      <c r="E39" s="55">
        <v>29.2</v>
      </c>
      <c r="F39" s="55">
        <v>24.1</v>
      </c>
      <c r="G39" s="55">
        <v>18.399999999999999</v>
      </c>
    </row>
    <row r="40" spans="1:7" ht="13.8">
      <c r="A40" s="15" t="s">
        <v>42</v>
      </c>
      <c r="B40" s="55">
        <v>14.5</v>
      </c>
      <c r="C40" s="55">
        <v>316</v>
      </c>
      <c r="D40" s="55">
        <v>28.5</v>
      </c>
      <c r="E40" s="55">
        <v>30.1</v>
      </c>
      <c r="F40" s="55">
        <v>27.9</v>
      </c>
      <c r="G40" s="55">
        <v>17.7</v>
      </c>
    </row>
    <row r="41" spans="1:7" ht="13.8">
      <c r="A41" s="15" t="s">
        <v>43</v>
      </c>
      <c r="B41" s="55">
        <v>15.1</v>
      </c>
      <c r="C41" s="55">
        <v>332</v>
      </c>
      <c r="D41" s="55">
        <v>30.8</v>
      </c>
      <c r="E41" s="55">
        <v>30.7</v>
      </c>
      <c r="F41" s="55">
        <v>27.2</v>
      </c>
      <c r="G41" s="55">
        <v>16.2</v>
      </c>
    </row>
    <row r="42" spans="1:7" ht="13.8">
      <c r="A42" s="15" t="s">
        <v>45</v>
      </c>
      <c r="B42" s="55">
        <v>14.9</v>
      </c>
      <c r="C42" s="55" t="s">
        <v>77</v>
      </c>
      <c r="D42" s="55">
        <v>26.9</v>
      </c>
      <c r="E42" s="55">
        <v>30.9</v>
      </c>
      <c r="F42" s="55">
        <v>26.9</v>
      </c>
      <c r="G42" s="55">
        <v>14.8</v>
      </c>
    </row>
    <row r="43" spans="1:7" ht="13.8">
      <c r="A43" s="15" t="s">
        <v>46</v>
      </c>
      <c r="B43" s="55">
        <v>14.9</v>
      </c>
      <c r="C43" s="55" t="s">
        <v>77</v>
      </c>
      <c r="D43" s="55">
        <v>26.9</v>
      </c>
      <c r="E43" s="55">
        <v>26.8</v>
      </c>
      <c r="F43" s="55">
        <v>27.3</v>
      </c>
      <c r="G43" s="55">
        <v>12.1</v>
      </c>
    </row>
    <row r="44" spans="1:7" ht="13.8">
      <c r="A44" s="15" t="s">
        <v>47</v>
      </c>
      <c r="B44" s="55">
        <v>14.4</v>
      </c>
      <c r="C44" s="55" t="s">
        <v>77</v>
      </c>
      <c r="D44" s="55">
        <v>25</v>
      </c>
      <c r="E44" s="55">
        <v>25.2</v>
      </c>
      <c r="F44" s="55">
        <v>27.9</v>
      </c>
      <c r="G44" s="55">
        <v>12.4</v>
      </c>
    </row>
    <row r="45" spans="1:7" ht="13.8">
      <c r="A45" s="14" t="s">
        <v>49</v>
      </c>
      <c r="B45" s="135">
        <v>14.2</v>
      </c>
      <c r="C45" s="135" t="s">
        <v>77</v>
      </c>
      <c r="D45" s="135">
        <v>20.7</v>
      </c>
      <c r="E45" s="135">
        <v>27.3</v>
      </c>
      <c r="F45" s="135">
        <v>28.3</v>
      </c>
      <c r="G45" s="135">
        <v>13.1</v>
      </c>
    </row>
    <row r="46" spans="1:7" ht="16.2">
      <c r="A46" s="15" t="s">
        <v>123</v>
      </c>
      <c r="B46" s="15"/>
      <c r="C46" s="15"/>
      <c r="D46" s="15"/>
      <c r="E46" s="15"/>
      <c r="F46" s="15"/>
      <c r="G46" s="15"/>
    </row>
    <row r="47" spans="1:7" ht="14.4">
      <c r="A47" s="15" t="s">
        <v>124</v>
      </c>
      <c r="B47" s="15"/>
      <c r="C47" s="15"/>
      <c r="D47" s="15"/>
      <c r="E47" s="15"/>
      <c r="F47" s="15"/>
      <c r="G47" s="15"/>
    </row>
    <row r="48" spans="1:7" ht="13.8">
      <c r="A48" s="20" t="s">
        <v>56</v>
      </c>
      <c r="B48" s="41">
        <f>Contents!A16</f>
        <v>45153</v>
      </c>
      <c r="C48" s="15"/>
      <c r="D48" s="15"/>
      <c r="E48" s="15"/>
      <c r="F48" s="15"/>
      <c r="G48" s="15"/>
    </row>
  </sheetData>
  <phoneticPr fontId="32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L69"/>
  <sheetViews>
    <sheetView showGridLines="0" zoomScale="70" zoomScaleNormal="70" workbookViewId="0">
      <pane xSplit="1" ySplit="4" topLeftCell="B5" activePane="bottomRight" state="frozen"/>
      <selection pane="topRight" activeCell="J34" sqref="J34"/>
      <selection pane="bottomLeft" activeCell="J34" sqref="J34"/>
      <selection pane="bottomRight"/>
    </sheetView>
  </sheetViews>
  <sheetFormatPr defaultColWidth="9.109375" defaultRowHeight="13.2"/>
  <cols>
    <col min="1" max="2" width="11.6640625" customWidth="1"/>
    <col min="3" max="3" width="11.5546875" customWidth="1"/>
    <col min="4" max="4" width="13.6640625" customWidth="1"/>
    <col min="5" max="5" width="11.6640625" customWidth="1"/>
    <col min="6" max="6" width="11.5546875" bestFit="1" customWidth="1"/>
    <col min="7" max="7" width="10.6640625" customWidth="1"/>
    <col min="8" max="8" width="12" customWidth="1"/>
    <col min="9" max="9" width="13.44140625" customWidth="1"/>
    <col min="10" max="10" width="10.109375" bestFit="1" customWidth="1"/>
  </cols>
  <sheetData>
    <row r="1" spans="1:12" ht="13.8">
      <c r="A1" s="14" t="s">
        <v>9</v>
      </c>
      <c r="B1" s="14"/>
      <c r="C1" s="14"/>
      <c r="D1" s="14"/>
      <c r="E1" s="14"/>
      <c r="F1" s="14"/>
      <c r="G1" s="14"/>
      <c r="H1" s="14"/>
      <c r="I1" s="15"/>
    </row>
    <row r="2" spans="1:12" ht="15.6" customHeight="1">
      <c r="A2" s="61" t="s">
        <v>98</v>
      </c>
      <c r="B2" s="17" t="s">
        <v>125</v>
      </c>
      <c r="C2" s="17" t="s">
        <v>126</v>
      </c>
      <c r="D2" s="17" t="s">
        <v>127</v>
      </c>
      <c r="E2" s="62" t="s">
        <v>128</v>
      </c>
      <c r="F2" s="62" t="s">
        <v>129</v>
      </c>
      <c r="G2" s="17" t="s">
        <v>130</v>
      </c>
      <c r="H2" s="17" t="s">
        <v>131</v>
      </c>
      <c r="I2" s="63" t="s">
        <v>132</v>
      </c>
    </row>
    <row r="3" spans="1:12" ht="15.6" customHeight="1">
      <c r="A3" s="64" t="s">
        <v>105</v>
      </c>
      <c r="B3" s="23" t="s">
        <v>133</v>
      </c>
      <c r="C3" s="23" t="s">
        <v>134</v>
      </c>
      <c r="D3" s="23" t="s">
        <v>135</v>
      </c>
      <c r="E3" s="23" t="s">
        <v>135</v>
      </c>
      <c r="F3" s="23" t="s">
        <v>136</v>
      </c>
      <c r="G3" s="23" t="s">
        <v>137</v>
      </c>
      <c r="H3" s="23"/>
      <c r="I3" s="23" t="s">
        <v>138</v>
      </c>
    </row>
    <row r="4" spans="1:12" ht="14.4">
      <c r="A4" s="65" t="s">
        <v>139</v>
      </c>
      <c r="C4" s="66"/>
      <c r="D4" s="66"/>
      <c r="E4" s="66"/>
      <c r="F4" s="66"/>
      <c r="G4" s="66"/>
      <c r="H4" s="66"/>
      <c r="I4" s="66"/>
    </row>
    <row r="5" spans="1:12" ht="13.8">
      <c r="A5" s="15"/>
      <c r="B5" s="15"/>
      <c r="C5" s="15"/>
      <c r="D5" s="15"/>
      <c r="E5" s="15"/>
      <c r="F5" s="15"/>
      <c r="G5" s="15"/>
      <c r="H5" s="15"/>
      <c r="I5" s="15"/>
    </row>
    <row r="6" spans="1:12" ht="13.8">
      <c r="A6" s="15" t="s">
        <v>110</v>
      </c>
      <c r="B6" s="55">
        <v>53.2</v>
      </c>
      <c r="C6" s="55">
        <v>54.5</v>
      </c>
      <c r="D6" s="55">
        <v>86.12</v>
      </c>
      <c r="E6" s="55">
        <v>58.68</v>
      </c>
      <c r="F6" s="55">
        <v>77.239999999999995</v>
      </c>
      <c r="G6" s="55">
        <v>60.76</v>
      </c>
      <c r="H6" s="55">
        <v>51.52</v>
      </c>
      <c r="I6" s="55">
        <v>51.34</v>
      </c>
      <c r="K6" s="71"/>
      <c r="L6" s="71"/>
    </row>
    <row r="7" spans="1:12" ht="13.8">
      <c r="A7" s="15" t="s">
        <v>111</v>
      </c>
      <c r="B7" s="55">
        <v>51.9</v>
      </c>
      <c r="C7" s="55">
        <v>53.22</v>
      </c>
      <c r="D7" s="55">
        <v>83.2</v>
      </c>
      <c r="E7" s="55">
        <v>57.19</v>
      </c>
      <c r="F7" s="55">
        <v>100.15</v>
      </c>
      <c r="G7" s="55">
        <v>56.09</v>
      </c>
      <c r="H7" s="55">
        <v>48.11</v>
      </c>
      <c r="I7" s="55">
        <v>50.33</v>
      </c>
      <c r="K7" s="71"/>
      <c r="L7" s="71"/>
    </row>
    <row r="8" spans="1:12" ht="13.8">
      <c r="A8" s="15" t="s">
        <v>112</v>
      </c>
      <c r="B8" s="55">
        <v>47.13</v>
      </c>
      <c r="C8" s="55">
        <v>48.6</v>
      </c>
      <c r="D8" s="55">
        <v>65.87</v>
      </c>
      <c r="E8" s="55">
        <v>56.17</v>
      </c>
      <c r="F8" s="55">
        <v>91.83</v>
      </c>
      <c r="G8" s="55">
        <v>46.66</v>
      </c>
      <c r="H8" s="55">
        <v>51.8</v>
      </c>
      <c r="I8" s="55">
        <v>43.24</v>
      </c>
      <c r="K8" s="71"/>
      <c r="L8" s="71"/>
    </row>
    <row r="9" spans="1:12" ht="13.8">
      <c r="A9" s="15" t="s">
        <v>113</v>
      </c>
      <c r="B9" s="55">
        <v>38.229999999999997</v>
      </c>
      <c r="C9" s="55">
        <v>60.66</v>
      </c>
      <c r="D9" s="55">
        <v>59.12</v>
      </c>
      <c r="E9" s="55">
        <v>43.7</v>
      </c>
      <c r="F9" s="55">
        <v>68.23</v>
      </c>
      <c r="G9" s="55">
        <v>39.43</v>
      </c>
      <c r="H9" s="55">
        <v>43.93</v>
      </c>
      <c r="I9" s="55">
        <v>39.76</v>
      </c>
      <c r="K9" s="71"/>
      <c r="L9" s="71"/>
    </row>
    <row r="10" spans="1:12" ht="13.8">
      <c r="A10" s="15" t="s">
        <v>114</v>
      </c>
      <c r="B10" s="55">
        <v>31.6</v>
      </c>
      <c r="C10" s="55">
        <v>45.74</v>
      </c>
      <c r="D10" s="55">
        <v>66.72</v>
      </c>
      <c r="E10" s="55">
        <v>37.81</v>
      </c>
      <c r="F10" s="55">
        <v>57.96</v>
      </c>
      <c r="G10" s="55">
        <v>37.479999999999997</v>
      </c>
      <c r="H10" s="55">
        <v>33.43</v>
      </c>
      <c r="I10" s="55">
        <v>31.36</v>
      </c>
      <c r="K10" s="71"/>
      <c r="L10" s="71"/>
    </row>
    <row r="11" spans="1:12" ht="13.8">
      <c r="A11" s="15" t="s">
        <v>115</v>
      </c>
      <c r="B11" s="55">
        <v>29.86</v>
      </c>
      <c r="C11" s="55">
        <v>45.87</v>
      </c>
      <c r="D11" s="55">
        <v>57.81</v>
      </c>
      <c r="E11" s="55">
        <v>35.270000000000003</v>
      </c>
      <c r="F11" s="55">
        <v>58.26</v>
      </c>
      <c r="G11" s="55">
        <v>39.25</v>
      </c>
      <c r="H11" s="55">
        <v>32.229999999999997</v>
      </c>
      <c r="I11" s="55">
        <v>30.07</v>
      </c>
      <c r="K11" s="71"/>
      <c r="L11" s="71"/>
    </row>
    <row r="12" spans="1:12" ht="13.8">
      <c r="A12" s="15" t="s">
        <v>116</v>
      </c>
      <c r="B12" s="55">
        <v>32.549999999999997</v>
      </c>
      <c r="C12" s="55">
        <v>40.92</v>
      </c>
      <c r="D12" s="55">
        <v>53.54</v>
      </c>
      <c r="E12" s="55">
        <v>38.729999999999997</v>
      </c>
      <c r="F12" s="55">
        <v>66.73</v>
      </c>
      <c r="G12" s="55">
        <v>37.43</v>
      </c>
      <c r="H12" s="55">
        <v>33.07</v>
      </c>
      <c r="I12" s="55">
        <v>34.75</v>
      </c>
      <c r="K12" s="71"/>
      <c r="L12" s="71"/>
    </row>
    <row r="13" spans="1:12" ht="13.8">
      <c r="A13" s="15" t="s">
        <v>117</v>
      </c>
      <c r="B13" s="55">
        <v>30.04</v>
      </c>
      <c r="C13" s="55">
        <v>31.87</v>
      </c>
      <c r="D13" s="55">
        <v>54.57</v>
      </c>
      <c r="E13" s="55">
        <v>38.270000000000003</v>
      </c>
      <c r="F13" s="55">
        <v>66.72</v>
      </c>
      <c r="G13" s="55">
        <v>30.35</v>
      </c>
      <c r="H13" s="55">
        <v>34.159999999999997</v>
      </c>
      <c r="I13" s="55">
        <v>31.21</v>
      </c>
      <c r="K13" s="71"/>
      <c r="L13" s="71"/>
    </row>
    <row r="14" spans="1:12" ht="13.8">
      <c r="A14" s="15" t="s">
        <v>118</v>
      </c>
      <c r="B14" s="55">
        <v>28.26</v>
      </c>
      <c r="C14" s="55">
        <v>35.14</v>
      </c>
      <c r="D14" s="55">
        <v>53.28</v>
      </c>
      <c r="E14" s="55">
        <v>36.090000000000003</v>
      </c>
      <c r="F14" s="55">
        <v>64.72</v>
      </c>
      <c r="G14" s="55">
        <v>26.93</v>
      </c>
      <c r="H14" s="55">
        <v>31.65</v>
      </c>
      <c r="I14" s="55">
        <v>33.11</v>
      </c>
      <c r="K14" s="71"/>
      <c r="L14" s="71"/>
    </row>
    <row r="15" spans="1:12" ht="13.8">
      <c r="A15" s="15" t="s">
        <v>119</v>
      </c>
      <c r="B15" s="55">
        <v>29.65</v>
      </c>
      <c r="C15" s="55">
        <v>40.18</v>
      </c>
      <c r="D15" s="55">
        <v>65.03</v>
      </c>
      <c r="E15" s="55">
        <v>37.869999999999997</v>
      </c>
      <c r="F15" s="55">
        <v>62</v>
      </c>
      <c r="G15" s="55">
        <v>39.47</v>
      </c>
      <c r="H15" s="55">
        <v>35.75</v>
      </c>
      <c r="I15" s="55">
        <v>38.369999999999997</v>
      </c>
      <c r="K15" s="71"/>
      <c r="L15" s="71"/>
    </row>
    <row r="16" spans="1:12" ht="13.8">
      <c r="A16" s="15" t="s">
        <v>120</v>
      </c>
      <c r="B16" s="55">
        <v>56.87</v>
      </c>
      <c r="C16" s="55">
        <v>80.94</v>
      </c>
      <c r="D16" s="55">
        <v>79</v>
      </c>
      <c r="E16" s="55">
        <v>70.459999999999994</v>
      </c>
      <c r="F16" s="55">
        <v>101.4</v>
      </c>
      <c r="G16" s="55">
        <v>53.88</v>
      </c>
      <c r="H16" s="55">
        <v>55.89</v>
      </c>
      <c r="I16" s="55">
        <v>54.98</v>
      </c>
      <c r="K16" s="71"/>
      <c r="L16" s="71"/>
    </row>
    <row r="17" spans="1:12" ht="13.8">
      <c r="A17" s="15" t="s">
        <v>34</v>
      </c>
      <c r="B17" s="55">
        <v>72.98</v>
      </c>
      <c r="C17" s="55">
        <v>107.15</v>
      </c>
      <c r="D17" s="55">
        <v>111.39</v>
      </c>
      <c r="E17" s="55">
        <v>90.52</v>
      </c>
      <c r="F17" s="55">
        <v>106.98</v>
      </c>
      <c r="G17" s="55">
        <v>64.28</v>
      </c>
      <c r="H17" s="55">
        <v>82</v>
      </c>
      <c r="I17" s="55">
        <v>81.84</v>
      </c>
      <c r="J17" s="102"/>
      <c r="K17" s="71"/>
      <c r="L17" s="71"/>
    </row>
    <row r="18" spans="1:12" ht="16.2">
      <c r="A18" s="15" t="s">
        <v>140</v>
      </c>
      <c r="B18" s="55">
        <v>65</v>
      </c>
      <c r="C18" s="158">
        <v>103</v>
      </c>
      <c r="D18" s="55">
        <v>80</v>
      </c>
      <c r="E18" s="55">
        <v>72</v>
      </c>
      <c r="F18" s="55">
        <v>99.999999999999986</v>
      </c>
      <c r="G18" s="55">
        <f>63</f>
        <v>63</v>
      </c>
      <c r="H18" s="55">
        <f>83</f>
        <v>83</v>
      </c>
      <c r="I18" s="55">
        <v>78</v>
      </c>
      <c r="J18" s="102"/>
      <c r="K18" s="71"/>
      <c r="L18" s="71"/>
    </row>
    <row r="19" spans="1:12" ht="16.2">
      <c r="A19" s="15" t="s">
        <v>141</v>
      </c>
      <c r="B19" s="55">
        <v>62</v>
      </c>
      <c r="C19" s="55">
        <v>98</v>
      </c>
      <c r="D19" s="55">
        <v>84</v>
      </c>
      <c r="E19" s="55">
        <v>69</v>
      </c>
      <c r="F19" s="55">
        <v>97</v>
      </c>
      <c r="G19" s="55">
        <f>61</f>
        <v>61</v>
      </c>
      <c r="H19" s="55">
        <v>81</v>
      </c>
      <c r="I19" s="55">
        <v>76</v>
      </c>
      <c r="J19" s="102"/>
      <c r="K19" s="71"/>
      <c r="L19" s="71"/>
    </row>
    <row r="20" spans="1:12" ht="13.8">
      <c r="A20" s="15"/>
      <c r="B20" s="67"/>
      <c r="C20" s="67"/>
      <c r="D20" s="67"/>
      <c r="E20" s="67"/>
      <c r="F20" s="67"/>
      <c r="G20" s="67"/>
      <c r="H20" s="67"/>
      <c r="I20" s="67"/>
    </row>
    <row r="21" spans="1:12" ht="13.8">
      <c r="A21" s="35" t="s">
        <v>34</v>
      </c>
      <c r="B21" s="55"/>
      <c r="C21" s="55"/>
      <c r="D21" s="55"/>
      <c r="E21" s="55"/>
      <c r="F21" s="55"/>
      <c r="G21" s="55"/>
      <c r="H21" s="55"/>
      <c r="I21" s="55"/>
      <c r="L21" s="102"/>
    </row>
    <row r="22" spans="1:12" ht="13.8">
      <c r="A22" s="15" t="s">
        <v>38</v>
      </c>
      <c r="B22" s="55">
        <v>70.42</v>
      </c>
      <c r="C22" s="55">
        <v>98.5</v>
      </c>
      <c r="D22" s="55">
        <v>129</v>
      </c>
      <c r="E22" s="55">
        <v>82.3</v>
      </c>
      <c r="F22" s="55">
        <v>101.5</v>
      </c>
      <c r="G22" s="55">
        <v>57.069999999999993</v>
      </c>
      <c r="H22" s="55" t="s">
        <v>77</v>
      </c>
      <c r="I22" s="55" t="s">
        <v>77</v>
      </c>
      <c r="K22" s="105"/>
      <c r="L22" s="104"/>
    </row>
    <row r="23" spans="1:12" ht="13.8">
      <c r="A23" s="15" t="s">
        <v>39</v>
      </c>
      <c r="B23" s="55">
        <v>66.459999999999994</v>
      </c>
      <c r="C23" s="55">
        <v>96.75</v>
      </c>
      <c r="D23" s="55">
        <v>125</v>
      </c>
      <c r="E23" s="55">
        <v>84.375</v>
      </c>
      <c r="F23" s="55">
        <v>100</v>
      </c>
      <c r="G23" s="55">
        <v>57.918000000000006</v>
      </c>
      <c r="H23" s="55" t="s">
        <v>77</v>
      </c>
      <c r="I23" s="55">
        <v>80.06</v>
      </c>
      <c r="K23" s="105"/>
      <c r="L23" s="105"/>
    </row>
    <row r="24" spans="1:12" ht="13.8">
      <c r="A24" s="15" t="s">
        <v>41</v>
      </c>
      <c r="B24" s="55">
        <v>63.69</v>
      </c>
      <c r="C24" s="55">
        <v>93.3</v>
      </c>
      <c r="D24" s="55">
        <v>125</v>
      </c>
      <c r="E24" s="55">
        <v>82.95</v>
      </c>
      <c r="F24" s="55">
        <v>100</v>
      </c>
      <c r="G24" s="55">
        <v>56.093333333333334</v>
      </c>
      <c r="H24" s="55" t="s">
        <v>77</v>
      </c>
      <c r="I24" s="55">
        <v>73</v>
      </c>
      <c r="K24" s="105"/>
      <c r="L24" s="105"/>
    </row>
    <row r="25" spans="1:12" ht="13.8">
      <c r="A25" s="15" t="s">
        <v>42</v>
      </c>
      <c r="B25" s="55">
        <v>65.7</v>
      </c>
      <c r="C25" s="55">
        <v>97.9375</v>
      </c>
      <c r="D25" s="55">
        <v>123.125</v>
      </c>
      <c r="E25" s="55">
        <v>88.5625</v>
      </c>
      <c r="F25" s="55">
        <v>103.125</v>
      </c>
      <c r="G25" s="55">
        <v>54.09</v>
      </c>
      <c r="H25" s="55" t="s">
        <v>77</v>
      </c>
      <c r="I25" s="55">
        <v>76.5</v>
      </c>
      <c r="K25" s="105"/>
    </row>
    <row r="26" spans="1:12" ht="13.8">
      <c r="A26" s="15" t="s">
        <v>43</v>
      </c>
      <c r="B26" s="55">
        <v>70.91</v>
      </c>
      <c r="C26" s="55">
        <v>101.375</v>
      </c>
      <c r="D26" s="55">
        <v>115.33333333333333</v>
      </c>
      <c r="E26" s="55">
        <v>85.875</v>
      </c>
      <c r="F26" s="55">
        <v>105</v>
      </c>
      <c r="G26" s="55">
        <v>59.29</v>
      </c>
      <c r="H26" s="55">
        <v>82</v>
      </c>
      <c r="I26" s="55">
        <v>80</v>
      </c>
    </row>
    <row r="27" spans="1:12" ht="13.8">
      <c r="A27" s="15" t="s">
        <v>45</v>
      </c>
      <c r="B27" s="55">
        <v>76.405000000000001</v>
      </c>
      <c r="C27" s="55">
        <v>114.875</v>
      </c>
      <c r="D27" s="55">
        <v>129</v>
      </c>
      <c r="E27" s="55">
        <v>92</v>
      </c>
      <c r="F27" s="55">
        <v>107.5</v>
      </c>
      <c r="G27" s="55">
        <v>67.1875</v>
      </c>
      <c r="H27" s="55" t="s">
        <v>77</v>
      </c>
      <c r="I27" s="55">
        <v>81.5</v>
      </c>
    </row>
    <row r="28" spans="1:12" ht="13.8">
      <c r="A28" s="15" t="s">
        <v>46</v>
      </c>
      <c r="B28" s="55">
        <v>83.846000000000004</v>
      </c>
      <c r="C28" s="55">
        <v>120.05</v>
      </c>
      <c r="D28" s="55">
        <v>120.4</v>
      </c>
      <c r="E28" s="55">
        <v>103.15</v>
      </c>
      <c r="F28" s="55">
        <v>115</v>
      </c>
      <c r="G28" s="55">
        <v>71.55</v>
      </c>
      <c r="H28" s="55" t="s">
        <v>77</v>
      </c>
      <c r="I28" s="55">
        <v>83.125</v>
      </c>
    </row>
    <row r="29" spans="1:12" ht="13.8">
      <c r="A29" s="15" t="s">
        <v>47</v>
      </c>
      <c r="B29" s="55">
        <v>87.385000000000005</v>
      </c>
      <c r="C29" s="55">
        <v>119.5625</v>
      </c>
      <c r="D29" s="55">
        <v>113.5</v>
      </c>
      <c r="E29" s="55">
        <v>108.6875</v>
      </c>
      <c r="F29" s="55">
        <v>116.25</v>
      </c>
      <c r="G29" s="55">
        <v>77.802499999999995</v>
      </c>
      <c r="H29" s="55" t="s">
        <v>77</v>
      </c>
      <c r="I29" s="55">
        <v>84.25</v>
      </c>
    </row>
    <row r="30" spans="1:12" ht="13.8">
      <c r="A30" s="15" t="s">
        <v>49</v>
      </c>
      <c r="B30" s="55">
        <v>80.297499999999999</v>
      </c>
      <c r="C30" s="55">
        <v>115.75</v>
      </c>
      <c r="D30" s="55">
        <v>97.75</v>
      </c>
      <c r="E30" s="55">
        <v>102.25</v>
      </c>
      <c r="F30" s="55">
        <v>116.25</v>
      </c>
      <c r="G30" s="55">
        <v>76.375</v>
      </c>
      <c r="H30" s="55" t="s">
        <v>77</v>
      </c>
      <c r="I30" s="55">
        <v>86.5</v>
      </c>
    </row>
    <row r="31" spans="1:12" ht="13.8">
      <c r="A31" s="15" t="s">
        <v>50</v>
      </c>
      <c r="B31" s="55">
        <v>67.74799999999999</v>
      </c>
      <c r="C31" s="55">
        <v>100.8</v>
      </c>
      <c r="D31" s="55">
        <v>78.2</v>
      </c>
      <c r="E31" s="55">
        <v>87.9</v>
      </c>
      <c r="F31" s="55">
        <v>103.2</v>
      </c>
      <c r="G31" s="55">
        <v>62.25</v>
      </c>
      <c r="H31" s="55" t="s">
        <v>77</v>
      </c>
      <c r="I31" s="55">
        <v>81.5</v>
      </c>
    </row>
    <row r="32" spans="1:12" ht="13.8">
      <c r="A32" s="15" t="s">
        <v>51</v>
      </c>
      <c r="B32" s="55">
        <v>72.334999999999994</v>
      </c>
      <c r="C32" s="55">
        <v>113.75</v>
      </c>
      <c r="D32" s="55">
        <v>92</v>
      </c>
      <c r="E32" s="55">
        <v>91.3125</v>
      </c>
      <c r="F32" s="55">
        <v>107.25</v>
      </c>
      <c r="G32" s="55">
        <v>65.4375</v>
      </c>
      <c r="H32" s="55" t="s">
        <v>77</v>
      </c>
      <c r="I32" s="55" t="s">
        <v>77</v>
      </c>
    </row>
    <row r="33" spans="1:12" ht="13.8">
      <c r="A33" s="15" t="s">
        <v>37</v>
      </c>
      <c r="B33" s="55">
        <v>70.626000000000005</v>
      </c>
      <c r="C33" s="55">
        <v>113.2</v>
      </c>
      <c r="D33" s="55">
        <v>88.4</v>
      </c>
      <c r="E33" s="55">
        <v>76.849999999999994</v>
      </c>
      <c r="F33" s="55">
        <v>111.6</v>
      </c>
      <c r="G33" s="55">
        <v>66.263999999999996</v>
      </c>
      <c r="H33" s="55" t="s">
        <v>77</v>
      </c>
      <c r="I33" s="55">
        <v>92</v>
      </c>
      <c r="K33" s="71"/>
      <c r="L33" s="71"/>
    </row>
    <row r="34" spans="1:12" ht="13.8">
      <c r="A34" s="15"/>
      <c r="B34" s="55"/>
      <c r="C34" s="55"/>
      <c r="D34" s="55"/>
      <c r="E34" s="55"/>
      <c r="F34" s="55"/>
      <c r="G34" s="55"/>
      <c r="H34" s="55"/>
      <c r="I34" s="55"/>
      <c r="K34" s="71"/>
      <c r="L34" s="71"/>
    </row>
    <row r="35" spans="1:12" ht="13.8">
      <c r="A35" s="35" t="s">
        <v>53</v>
      </c>
      <c r="B35" s="55"/>
      <c r="C35" s="55"/>
      <c r="D35" s="55"/>
      <c r="E35" s="55"/>
      <c r="F35" s="55"/>
      <c r="G35" s="55"/>
      <c r="H35" s="55"/>
      <c r="I35" s="55"/>
      <c r="K35" s="71"/>
      <c r="L35" s="71"/>
    </row>
    <row r="36" spans="1:12" ht="13.8">
      <c r="A36" s="15" t="s">
        <v>38</v>
      </c>
      <c r="B36" s="55">
        <v>72.67</v>
      </c>
      <c r="C36" s="55">
        <v>110.1875</v>
      </c>
      <c r="D36" s="55">
        <v>93.75</v>
      </c>
      <c r="E36" s="55">
        <v>80.125</v>
      </c>
      <c r="F36" s="55">
        <v>107.75</v>
      </c>
      <c r="G36" s="55">
        <v>65.412499999999994</v>
      </c>
      <c r="H36" s="55">
        <v>88</v>
      </c>
      <c r="I36" s="55">
        <v>88.5</v>
      </c>
      <c r="J36" s="71"/>
      <c r="K36" s="71"/>
      <c r="L36" s="71"/>
    </row>
    <row r="37" spans="1:12" ht="13.8">
      <c r="A37" s="15" t="s">
        <v>39</v>
      </c>
      <c r="B37" s="55">
        <v>79.180000000000007</v>
      </c>
      <c r="C37" s="55">
        <v>116.6875</v>
      </c>
      <c r="D37" s="55">
        <v>106</v>
      </c>
      <c r="E37" s="55">
        <v>84.375</v>
      </c>
      <c r="F37" s="55">
        <v>111</v>
      </c>
      <c r="G37" s="55">
        <v>69.67</v>
      </c>
      <c r="H37" s="55" t="s">
        <v>77</v>
      </c>
      <c r="I37" s="55">
        <v>88.5</v>
      </c>
      <c r="J37" s="71"/>
      <c r="K37" s="71"/>
      <c r="L37" s="71"/>
    </row>
    <row r="38" spans="1:12" ht="13.8">
      <c r="A38" s="15" t="s">
        <v>41</v>
      </c>
      <c r="B38" s="55">
        <v>68.14</v>
      </c>
      <c r="C38" s="55">
        <v>105.1</v>
      </c>
      <c r="D38" s="55">
        <v>92.3</v>
      </c>
      <c r="E38" s="55">
        <v>74.05</v>
      </c>
      <c r="F38" s="55">
        <v>101</v>
      </c>
      <c r="G38" s="55">
        <v>60</v>
      </c>
      <c r="H38" s="55" t="s">
        <v>77</v>
      </c>
      <c r="I38" s="55">
        <v>84</v>
      </c>
      <c r="J38" s="71"/>
      <c r="K38" s="71"/>
      <c r="L38" s="71"/>
    </row>
    <row r="39" spans="1:12" ht="13.8">
      <c r="A39" s="15" t="s">
        <v>42</v>
      </c>
      <c r="B39" s="55">
        <v>66</v>
      </c>
      <c r="C39" s="55">
        <v>102.1875</v>
      </c>
      <c r="D39" s="55">
        <v>85.75</v>
      </c>
      <c r="E39" s="55">
        <v>71.1875</v>
      </c>
      <c r="F39" s="55">
        <v>95.375</v>
      </c>
      <c r="G39" s="55">
        <v>61</v>
      </c>
      <c r="H39" s="55">
        <v>87</v>
      </c>
      <c r="I39" s="55">
        <v>76.125</v>
      </c>
      <c r="J39" s="71"/>
      <c r="K39" s="71"/>
      <c r="L39" s="71"/>
    </row>
    <row r="40" spans="1:12" ht="13.8">
      <c r="A40" s="15" t="s">
        <v>43</v>
      </c>
      <c r="B40" s="55">
        <v>63.242500000000007</v>
      </c>
      <c r="C40" s="55">
        <v>100</v>
      </c>
      <c r="D40" s="55">
        <v>81.25</v>
      </c>
      <c r="E40" s="55">
        <v>68.25</v>
      </c>
      <c r="F40" s="55">
        <v>88</v>
      </c>
      <c r="G40" s="55" t="s">
        <v>77</v>
      </c>
      <c r="H40" s="55" t="s">
        <v>77</v>
      </c>
      <c r="I40" s="55">
        <v>63.95</v>
      </c>
      <c r="J40" s="71"/>
      <c r="K40" s="71"/>
      <c r="L40" s="71"/>
    </row>
    <row r="41" spans="1:12" ht="13.8">
      <c r="A41" s="15" t="s">
        <v>45</v>
      </c>
      <c r="B41" s="55">
        <v>58.83</v>
      </c>
      <c r="C41" s="55">
        <v>96.55</v>
      </c>
      <c r="D41" s="55">
        <v>76.599999999999994</v>
      </c>
      <c r="E41" s="55">
        <v>64.599999999999994</v>
      </c>
      <c r="F41" s="55">
        <v>84.4</v>
      </c>
      <c r="G41" s="55" t="s">
        <v>77</v>
      </c>
      <c r="H41" s="55" t="s">
        <v>77</v>
      </c>
      <c r="I41" s="55">
        <v>66.25</v>
      </c>
      <c r="J41" s="71"/>
      <c r="K41" s="71"/>
      <c r="L41" s="71"/>
    </row>
    <row r="42" spans="1:12" ht="13.8">
      <c r="A42" s="15" t="s">
        <v>46</v>
      </c>
      <c r="B42" s="55">
        <v>55.474999999999994</v>
      </c>
      <c r="C42" s="55">
        <v>92.5625</v>
      </c>
      <c r="D42" s="55">
        <v>73</v>
      </c>
      <c r="E42" s="55">
        <v>62.625</v>
      </c>
      <c r="F42" s="55">
        <v>81.75</v>
      </c>
      <c r="G42" s="55" t="s">
        <v>77</v>
      </c>
      <c r="H42" s="55">
        <v>82</v>
      </c>
      <c r="I42" s="55" t="s">
        <v>77</v>
      </c>
      <c r="J42" s="71"/>
      <c r="K42" s="71"/>
      <c r="L42" s="71"/>
    </row>
    <row r="43" spans="1:12" ht="13.8">
      <c r="A43" s="15" t="s">
        <v>47</v>
      </c>
      <c r="B43" s="55">
        <v>52.484999999999999</v>
      </c>
      <c r="C43" s="55">
        <v>91.75</v>
      </c>
      <c r="D43" s="55">
        <v>68.625</v>
      </c>
      <c r="E43" s="55">
        <v>62.125</v>
      </c>
      <c r="F43" s="55">
        <v>85.5</v>
      </c>
      <c r="G43" s="55">
        <v>52</v>
      </c>
      <c r="H43" s="55" t="s">
        <v>77</v>
      </c>
      <c r="I43" s="55" t="s">
        <v>77</v>
      </c>
      <c r="J43" s="71"/>
      <c r="K43" s="71"/>
      <c r="L43" s="71"/>
    </row>
    <row r="44" spans="1:12" ht="13.8">
      <c r="A44" s="15" t="s">
        <v>49</v>
      </c>
      <c r="B44" s="55">
        <v>60.007999999999996</v>
      </c>
      <c r="C44" s="55">
        <v>97.85</v>
      </c>
      <c r="D44" s="55">
        <v>67</v>
      </c>
      <c r="E44" s="55">
        <v>71.849999999999994</v>
      </c>
      <c r="F44" s="55">
        <v>89.6</v>
      </c>
      <c r="G44" s="55" t="s">
        <v>77</v>
      </c>
      <c r="H44" s="55">
        <v>80</v>
      </c>
      <c r="I44" s="55">
        <v>74.59</v>
      </c>
      <c r="J44" s="55"/>
      <c r="K44" s="71"/>
      <c r="L44" s="71"/>
    </row>
    <row r="45" spans="1:12" ht="13.8">
      <c r="A45" s="14" t="s">
        <v>50</v>
      </c>
      <c r="B45" s="135">
        <v>70.887499999999989</v>
      </c>
      <c r="C45" s="135">
        <v>107.75</v>
      </c>
      <c r="D45" s="135">
        <v>73.25</v>
      </c>
      <c r="E45" s="135">
        <v>83</v>
      </c>
      <c r="F45" s="135">
        <v>94.25</v>
      </c>
      <c r="G45" s="135" t="s">
        <v>77</v>
      </c>
      <c r="H45" s="135" t="s">
        <v>77</v>
      </c>
      <c r="I45" s="135">
        <v>74.625</v>
      </c>
      <c r="J45" s="55"/>
      <c r="K45" s="71"/>
      <c r="L45" s="71"/>
    </row>
    <row r="46" spans="1:12" ht="16.2">
      <c r="A46" s="47" t="s">
        <v>142</v>
      </c>
      <c r="B46" s="69"/>
      <c r="C46" s="69"/>
      <c r="D46" s="69"/>
      <c r="E46" s="69"/>
      <c r="F46" s="69"/>
      <c r="G46" s="69"/>
      <c r="H46" s="69"/>
      <c r="I46" s="69"/>
    </row>
    <row r="47" spans="1:12" ht="16.2">
      <c r="A47" s="15" t="s">
        <v>143</v>
      </c>
      <c r="B47" s="69"/>
      <c r="C47" s="69"/>
      <c r="D47" s="69"/>
      <c r="E47" s="69"/>
      <c r="F47" s="69"/>
      <c r="G47" s="69"/>
      <c r="H47" s="69"/>
      <c r="I47" s="69"/>
    </row>
    <row r="48" spans="1:12" ht="14.4">
      <c r="A48" s="15" t="s">
        <v>144</v>
      </c>
      <c r="B48" s="15"/>
      <c r="C48" s="15"/>
      <c r="D48" s="15"/>
      <c r="E48" s="15"/>
      <c r="F48" s="69"/>
      <c r="G48" s="15"/>
      <c r="H48" s="15"/>
      <c r="I48" s="15"/>
    </row>
    <row r="49" spans="1:9" ht="13.8">
      <c r="A49" s="20" t="s">
        <v>56</v>
      </c>
      <c r="B49" s="41">
        <f>Contents!A16</f>
        <v>45153</v>
      </c>
      <c r="C49" s="15"/>
      <c r="D49" s="15"/>
      <c r="E49" s="15"/>
      <c r="F49" s="15"/>
      <c r="G49" s="15"/>
      <c r="H49" s="15"/>
      <c r="I49" s="15"/>
    </row>
    <row r="50" spans="1:9" ht="15.6">
      <c r="C50" s="70"/>
      <c r="G50" s="70"/>
      <c r="H50" s="70"/>
      <c r="I50" s="70"/>
    </row>
    <row r="51" spans="1:9" ht="15.6">
      <c r="B51" s="71"/>
      <c r="C51" s="71"/>
      <c r="D51" s="71"/>
      <c r="E51" s="71"/>
      <c r="F51" s="71"/>
      <c r="G51" s="71"/>
      <c r="H51" s="70"/>
      <c r="I51" s="70"/>
    </row>
    <row r="52" spans="1:9" ht="15.6">
      <c r="B52" s="106"/>
      <c r="C52" s="106"/>
      <c r="D52" s="106"/>
      <c r="E52" s="106"/>
      <c r="F52" s="106"/>
      <c r="G52" s="106"/>
      <c r="H52" s="70"/>
      <c r="I52" s="70"/>
    </row>
    <row r="53" spans="1:9" ht="15.6">
      <c r="C53" s="70"/>
      <c r="G53" s="70"/>
      <c r="H53" s="70"/>
      <c r="I53" s="70"/>
    </row>
    <row r="54" spans="1:9" ht="15.6">
      <c r="C54" s="70"/>
      <c r="G54" s="70"/>
      <c r="H54" s="70"/>
      <c r="I54" s="70"/>
    </row>
    <row r="55" spans="1:9" ht="15.6">
      <c r="C55" s="70"/>
      <c r="G55" s="70"/>
      <c r="H55" s="70"/>
      <c r="I55" s="70"/>
    </row>
    <row r="56" spans="1:9" ht="15.6">
      <c r="C56" s="70"/>
      <c r="G56" s="70"/>
      <c r="H56" s="70"/>
      <c r="I56" s="70"/>
    </row>
    <row r="57" spans="1:9" ht="15.6">
      <c r="C57" s="70"/>
      <c r="G57" s="70"/>
      <c r="H57" s="70"/>
      <c r="I57" s="70"/>
    </row>
    <row r="58" spans="1:9" ht="15.6">
      <c r="C58" s="70"/>
      <c r="G58" s="70"/>
      <c r="H58" s="70"/>
      <c r="I58" s="70"/>
    </row>
    <row r="59" spans="1:9" ht="15.6">
      <c r="C59" s="70"/>
      <c r="G59" s="70"/>
      <c r="H59" s="70"/>
      <c r="I59" s="70"/>
    </row>
    <row r="60" spans="1:9" ht="15.6">
      <c r="C60" s="70"/>
      <c r="G60" s="70"/>
      <c r="H60" s="70"/>
      <c r="I60" s="70"/>
    </row>
    <row r="61" spans="1:9" ht="15.6">
      <c r="C61" s="70"/>
      <c r="G61" s="70"/>
      <c r="H61" s="70"/>
      <c r="I61" s="70"/>
    </row>
    <row r="62" spans="1:9" ht="15.6">
      <c r="C62" s="70"/>
      <c r="G62" s="70"/>
      <c r="H62" s="70"/>
      <c r="I62" s="70"/>
    </row>
    <row r="63" spans="1:9" ht="15.6">
      <c r="C63" s="70"/>
      <c r="G63" s="70"/>
      <c r="H63" s="70"/>
      <c r="I63" s="70"/>
    </row>
    <row r="64" spans="1:9" ht="15.6">
      <c r="C64" s="70"/>
      <c r="G64" s="70"/>
      <c r="H64" s="70"/>
      <c r="I64" s="70"/>
    </row>
    <row r="65" spans="3:9" ht="15.6">
      <c r="C65" s="70"/>
      <c r="G65" s="70"/>
      <c r="H65" s="70"/>
      <c r="I65" s="70"/>
    </row>
    <row r="66" spans="3:9" ht="15.6">
      <c r="C66" s="70"/>
      <c r="H66" s="70"/>
      <c r="I66" s="70"/>
    </row>
    <row r="67" spans="3:9" ht="15.6">
      <c r="C67" s="70"/>
      <c r="H67" s="70"/>
      <c r="I67" s="70"/>
    </row>
    <row r="68" spans="3:9" ht="15.6">
      <c r="C68" s="70"/>
      <c r="F68" s="71"/>
      <c r="H68" s="70"/>
      <c r="I68" s="70"/>
    </row>
    <row r="69" spans="3:9" ht="15.6">
      <c r="F69" s="71"/>
      <c r="H69" s="70"/>
      <c r="I69" s="70"/>
    </row>
  </sheetData>
  <phoneticPr fontId="32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59"/>
  <sheetViews>
    <sheetView showGridLines="0" zoomScale="70" zoomScaleNormal="7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.109375" defaultRowHeight="13.2"/>
  <cols>
    <col min="1" max="1" width="11.6640625" customWidth="1"/>
    <col min="2" max="7" width="13.6640625" customWidth="1"/>
    <col min="8" max="8" width="10.109375" bestFit="1" customWidth="1"/>
    <col min="9" max="9" width="11.44140625" customWidth="1"/>
    <col min="11" max="11" width="8.88671875" customWidth="1"/>
    <col min="12" max="12" width="18" bestFit="1" customWidth="1"/>
  </cols>
  <sheetData>
    <row r="1" spans="1:28" ht="13.8">
      <c r="A1" s="14" t="s">
        <v>10</v>
      </c>
      <c r="B1" s="14"/>
      <c r="C1" s="14"/>
      <c r="D1" s="14"/>
      <c r="E1" s="14"/>
      <c r="F1" s="14"/>
      <c r="G1" s="14"/>
    </row>
    <row r="2" spans="1:28" ht="15.6" customHeight="1">
      <c r="A2" s="15" t="s">
        <v>98</v>
      </c>
      <c r="B2" s="17" t="s">
        <v>125</v>
      </c>
      <c r="C2" s="72" t="s">
        <v>126</v>
      </c>
      <c r="D2" s="72" t="s">
        <v>127</v>
      </c>
      <c r="E2" s="72" t="s">
        <v>129</v>
      </c>
      <c r="F2" s="17" t="s">
        <v>145</v>
      </c>
      <c r="G2" s="17" t="s">
        <v>146</v>
      </c>
      <c r="AB2" s="73"/>
    </row>
    <row r="3" spans="1:28" ht="15.6" customHeight="1">
      <c r="A3" s="14" t="s">
        <v>105</v>
      </c>
      <c r="B3" s="23" t="s">
        <v>147</v>
      </c>
      <c r="C3" s="23" t="s">
        <v>148</v>
      </c>
      <c r="D3" s="23" t="s">
        <v>149</v>
      </c>
      <c r="E3" s="23" t="s">
        <v>150</v>
      </c>
      <c r="F3" s="23" t="s">
        <v>151</v>
      </c>
      <c r="G3" s="23" t="s">
        <v>152</v>
      </c>
      <c r="AB3" s="73"/>
    </row>
    <row r="4" spans="1:28" ht="14.4">
      <c r="A4" s="65" t="s">
        <v>153</v>
      </c>
      <c r="C4" s="66"/>
      <c r="D4" s="66"/>
      <c r="E4" s="66"/>
      <c r="F4" s="66"/>
      <c r="G4" s="66"/>
      <c r="AB4" s="73"/>
    </row>
    <row r="5" spans="1:28" ht="13.8">
      <c r="A5" s="15"/>
      <c r="B5" s="15"/>
      <c r="C5" s="15"/>
      <c r="D5" s="15"/>
      <c r="E5" s="15"/>
      <c r="F5" s="15"/>
      <c r="G5" s="15"/>
      <c r="AB5" s="73"/>
    </row>
    <row r="6" spans="1:28" ht="13.8">
      <c r="A6" s="15" t="s">
        <v>110</v>
      </c>
      <c r="B6" s="68">
        <v>345.52</v>
      </c>
      <c r="C6" s="68">
        <v>273.83999999999997</v>
      </c>
      <c r="D6" s="68">
        <v>219.72</v>
      </c>
      <c r="E6" s="59" t="s">
        <v>77</v>
      </c>
      <c r="F6" s="68">
        <v>263.63</v>
      </c>
      <c r="G6" s="68">
        <v>240.65</v>
      </c>
      <c r="AB6" s="73"/>
    </row>
    <row r="7" spans="1:28" ht="13.8">
      <c r="A7" s="15" t="s">
        <v>111</v>
      </c>
      <c r="B7" s="68">
        <v>393.53</v>
      </c>
      <c r="C7" s="68">
        <v>275.13</v>
      </c>
      <c r="D7" s="68">
        <v>246.75</v>
      </c>
      <c r="E7" s="59" t="s">
        <v>77</v>
      </c>
      <c r="F7" s="68">
        <v>307.58999999999997</v>
      </c>
      <c r="G7" s="68">
        <v>265.68</v>
      </c>
      <c r="AB7" s="73"/>
    </row>
    <row r="8" spans="1:28" ht="13.8">
      <c r="A8" s="15" t="s">
        <v>112</v>
      </c>
      <c r="B8" s="68">
        <v>468.11</v>
      </c>
      <c r="C8" s="68">
        <v>331.52</v>
      </c>
      <c r="D8" s="68">
        <v>241.57</v>
      </c>
      <c r="E8" s="59" t="s">
        <v>77</v>
      </c>
      <c r="F8" s="68">
        <v>354.22</v>
      </c>
      <c r="G8" s="68">
        <v>329.31</v>
      </c>
      <c r="AB8" s="73"/>
    </row>
    <row r="9" spans="1:28" ht="13.8">
      <c r="A9" s="15" t="s">
        <v>113</v>
      </c>
      <c r="B9" s="68">
        <v>489.94</v>
      </c>
      <c r="C9" s="68">
        <v>377.71</v>
      </c>
      <c r="D9" s="68">
        <v>238.87</v>
      </c>
      <c r="E9" s="59" t="s">
        <v>77</v>
      </c>
      <c r="F9" s="68">
        <v>359.7</v>
      </c>
      <c r="G9" s="68">
        <v>337.23</v>
      </c>
      <c r="AB9" s="73"/>
    </row>
    <row r="10" spans="1:28" ht="13.8">
      <c r="A10" s="15" t="s">
        <v>114</v>
      </c>
      <c r="B10" s="68">
        <v>368.49</v>
      </c>
      <c r="C10" s="68">
        <v>304.27</v>
      </c>
      <c r="D10" s="68">
        <v>209.97</v>
      </c>
      <c r="E10" s="59" t="s">
        <v>77</v>
      </c>
      <c r="F10" s="68">
        <v>301.2</v>
      </c>
      <c r="G10" s="68">
        <v>256.58</v>
      </c>
      <c r="AB10" s="73"/>
    </row>
    <row r="11" spans="1:28" ht="13.8">
      <c r="A11" s="15" t="s">
        <v>115</v>
      </c>
      <c r="B11" s="68">
        <v>324.56</v>
      </c>
      <c r="C11" s="68">
        <v>261.19</v>
      </c>
      <c r="D11" s="68">
        <v>153.16999999999999</v>
      </c>
      <c r="E11" s="59" t="s">
        <v>77</v>
      </c>
      <c r="F11" s="68">
        <v>262.2</v>
      </c>
      <c r="G11" s="68">
        <v>260.23</v>
      </c>
      <c r="AB11" s="73"/>
    </row>
    <row r="12" spans="1:28" ht="13.8">
      <c r="A12" s="15" t="s">
        <v>116</v>
      </c>
      <c r="B12" s="68">
        <v>316.88</v>
      </c>
      <c r="C12" s="68">
        <v>208.61</v>
      </c>
      <c r="D12" s="68">
        <v>145.1</v>
      </c>
      <c r="E12" s="59" t="s">
        <v>77</v>
      </c>
      <c r="F12" s="68">
        <v>267.94</v>
      </c>
      <c r="G12" s="68">
        <v>282.49</v>
      </c>
      <c r="AB12" s="73"/>
    </row>
    <row r="13" spans="1:28" ht="13.8">
      <c r="A13" s="15" t="s">
        <v>117</v>
      </c>
      <c r="B13" s="68">
        <v>345.02</v>
      </c>
      <c r="C13" s="68">
        <v>260.88</v>
      </c>
      <c r="D13" s="68">
        <v>173.53</v>
      </c>
      <c r="E13" s="59" t="s">
        <v>77</v>
      </c>
      <c r="F13" s="68">
        <v>291.14999999999998</v>
      </c>
      <c r="G13" s="68">
        <v>239.15</v>
      </c>
    </row>
    <row r="14" spans="1:28" ht="13.8">
      <c r="A14" s="15" t="s">
        <v>118</v>
      </c>
      <c r="B14" s="68">
        <v>308.27999999999997</v>
      </c>
      <c r="C14" s="68">
        <v>228.64</v>
      </c>
      <c r="D14" s="68">
        <v>164.16</v>
      </c>
      <c r="E14" s="59" t="s">
        <v>77</v>
      </c>
      <c r="F14" s="68">
        <v>272.38</v>
      </c>
      <c r="G14" s="68">
        <v>225.77</v>
      </c>
    </row>
    <row r="15" spans="1:28" ht="13.8">
      <c r="A15" s="15" t="s">
        <v>119</v>
      </c>
      <c r="B15" s="68">
        <v>299.5</v>
      </c>
      <c r="C15" s="68">
        <v>247.04</v>
      </c>
      <c r="D15" s="68">
        <v>187.7</v>
      </c>
      <c r="E15" s="59" t="s">
        <v>77</v>
      </c>
      <c r="F15" s="68">
        <v>273.99</v>
      </c>
      <c r="G15" s="68">
        <v>245.88</v>
      </c>
    </row>
    <row r="16" spans="1:28" ht="13.8">
      <c r="A16" s="15" t="s">
        <v>120</v>
      </c>
      <c r="B16" s="68">
        <v>392.31</v>
      </c>
      <c r="C16" s="68">
        <v>375.51</v>
      </c>
      <c r="D16" s="117">
        <v>246.22</v>
      </c>
      <c r="E16" s="59" t="s">
        <v>77</v>
      </c>
      <c r="F16" s="68">
        <v>351.87</v>
      </c>
      <c r="G16" s="68">
        <v>288.12</v>
      </c>
    </row>
    <row r="17" spans="1:13" ht="13.8">
      <c r="A17" s="15" t="s">
        <v>34</v>
      </c>
      <c r="B17" s="68">
        <v>439.81</v>
      </c>
      <c r="C17" s="68">
        <v>355.33</v>
      </c>
      <c r="D17" s="68">
        <v>279.98</v>
      </c>
      <c r="E17" s="59" t="s">
        <v>77</v>
      </c>
      <c r="F17" s="68">
        <v>439.1</v>
      </c>
      <c r="G17" s="68">
        <v>332.21</v>
      </c>
    </row>
    <row r="18" spans="1:13" ht="16.2">
      <c r="A18" s="15" t="s">
        <v>140</v>
      </c>
      <c r="B18" s="68">
        <v>455</v>
      </c>
      <c r="C18" s="68">
        <v>380</v>
      </c>
      <c r="D18" s="68">
        <v>245</v>
      </c>
      <c r="E18" s="59" t="s">
        <v>77</v>
      </c>
      <c r="F18" s="68">
        <v>430</v>
      </c>
      <c r="G18" s="117">
        <v>380</v>
      </c>
      <c r="I18" s="71"/>
    </row>
    <row r="19" spans="1:13" ht="16.2">
      <c r="A19" s="15" t="s">
        <v>141</v>
      </c>
      <c r="B19" s="68">
        <v>380</v>
      </c>
      <c r="C19" s="68">
        <v>345</v>
      </c>
      <c r="D19" s="68">
        <v>230</v>
      </c>
      <c r="E19" s="59" t="s">
        <v>77</v>
      </c>
      <c r="F19" s="68">
        <v>350</v>
      </c>
      <c r="G19" s="117">
        <v>280</v>
      </c>
      <c r="I19" s="71"/>
    </row>
    <row r="20" spans="1:13" ht="13.8">
      <c r="A20" s="15"/>
      <c r="B20" s="68"/>
      <c r="C20" s="68"/>
      <c r="D20" s="68"/>
      <c r="E20" s="59"/>
      <c r="F20" s="68"/>
      <c r="G20" s="68"/>
      <c r="I20" s="74"/>
      <c r="J20" s="75"/>
      <c r="K20" s="75"/>
      <c r="L20" s="75"/>
      <c r="M20" s="75"/>
    </row>
    <row r="21" spans="1:13" ht="13.8">
      <c r="A21" s="35" t="s">
        <v>34</v>
      </c>
      <c r="B21" s="68"/>
      <c r="C21" s="68"/>
      <c r="D21" s="68"/>
      <c r="E21" s="55"/>
      <c r="F21" s="68"/>
      <c r="G21" s="68"/>
      <c r="H21" s="55"/>
    </row>
    <row r="22" spans="1:13" ht="13.8">
      <c r="A22" s="15" t="s">
        <v>38</v>
      </c>
      <c r="B22" s="68">
        <v>325.43</v>
      </c>
      <c r="C22" s="68">
        <v>298.75</v>
      </c>
      <c r="D22" s="68">
        <v>222.5</v>
      </c>
      <c r="E22" s="59" t="s">
        <v>77</v>
      </c>
      <c r="F22" s="68">
        <v>322.82499999999999</v>
      </c>
      <c r="G22" s="68">
        <v>265.625</v>
      </c>
      <c r="H22" s="55"/>
      <c r="I22" s="71"/>
    </row>
    <row r="23" spans="1:13" ht="13.8">
      <c r="A23" s="15" t="s">
        <v>39</v>
      </c>
      <c r="B23" s="68">
        <v>358.73</v>
      </c>
      <c r="C23" s="68">
        <v>304.5</v>
      </c>
      <c r="D23" s="68">
        <v>256.5</v>
      </c>
      <c r="E23" s="59" t="s">
        <v>77</v>
      </c>
      <c r="F23" s="68">
        <v>350.21999999999997</v>
      </c>
      <c r="G23" s="68">
        <v>252</v>
      </c>
      <c r="H23" s="55"/>
      <c r="I23" s="71"/>
    </row>
    <row r="24" spans="1:13" ht="13.8">
      <c r="A24" s="15" t="s">
        <v>41</v>
      </c>
      <c r="B24" s="68">
        <v>399.53</v>
      </c>
      <c r="C24" s="68">
        <v>311.25</v>
      </c>
      <c r="D24" s="68">
        <v>289.16666666666669</v>
      </c>
      <c r="E24" s="59" t="s">
        <v>77</v>
      </c>
      <c r="F24" s="68">
        <v>382.9666666666667</v>
      </c>
      <c r="G24" s="68">
        <v>309.16666666666669</v>
      </c>
      <c r="H24" s="55"/>
      <c r="I24" s="71"/>
    </row>
    <row r="25" spans="1:13" ht="13.8">
      <c r="A25" s="15" t="s">
        <v>154</v>
      </c>
      <c r="B25" s="68">
        <v>421.21</v>
      </c>
      <c r="C25" s="68">
        <v>318.125</v>
      </c>
      <c r="D25" s="68">
        <v>301.25</v>
      </c>
      <c r="E25" s="59" t="s">
        <v>77</v>
      </c>
      <c r="F25" s="68">
        <v>410.875</v>
      </c>
      <c r="G25" s="68">
        <v>326.25</v>
      </c>
      <c r="H25" s="55"/>
      <c r="I25" s="71"/>
    </row>
    <row r="26" spans="1:13" ht="13.8">
      <c r="A26" s="15" t="s">
        <v>43</v>
      </c>
      <c r="B26" s="117">
        <v>460.45</v>
      </c>
      <c r="C26" s="68">
        <v>333.75</v>
      </c>
      <c r="D26" s="68">
        <v>320</v>
      </c>
      <c r="E26" s="59" t="s">
        <v>77</v>
      </c>
      <c r="F26" s="68">
        <v>454.625</v>
      </c>
      <c r="G26" s="68">
        <v>350</v>
      </c>
      <c r="H26" s="55"/>
      <c r="I26" s="71"/>
    </row>
    <row r="27" spans="1:13" ht="13.8">
      <c r="A27" s="15" t="s">
        <v>45</v>
      </c>
      <c r="B27" s="117">
        <v>493.97500000000002</v>
      </c>
      <c r="C27" s="68">
        <v>345.625</v>
      </c>
      <c r="D27" s="68">
        <v>333.33300000000003</v>
      </c>
      <c r="E27" s="59" t="s">
        <v>77</v>
      </c>
      <c r="F27" s="68">
        <v>487.03750000000002</v>
      </c>
      <c r="G27" s="68">
        <v>392.5</v>
      </c>
      <c r="H27" s="55"/>
      <c r="I27" s="71"/>
    </row>
    <row r="28" spans="1:13" ht="13.8">
      <c r="A28" s="15" t="s">
        <v>46</v>
      </c>
      <c r="B28" s="117">
        <v>475.35999999999996</v>
      </c>
      <c r="C28" s="68">
        <v>355</v>
      </c>
      <c r="D28" s="68">
        <v>321</v>
      </c>
      <c r="E28" s="59" t="s">
        <v>77</v>
      </c>
      <c r="F28" s="68">
        <v>470.77999999999992</v>
      </c>
      <c r="G28" s="68">
        <v>386</v>
      </c>
      <c r="H28" s="55"/>
      <c r="I28" s="71"/>
    </row>
    <row r="29" spans="1:13" ht="13.8">
      <c r="A29" s="15" t="s">
        <v>47</v>
      </c>
      <c r="B29" s="117">
        <v>441.27499999999998</v>
      </c>
      <c r="C29" s="68">
        <v>388.75</v>
      </c>
      <c r="D29" s="68">
        <v>285.625</v>
      </c>
      <c r="E29" s="59" t="s">
        <v>77</v>
      </c>
      <c r="F29" s="68">
        <v>454.5</v>
      </c>
      <c r="G29" s="68">
        <v>351.25</v>
      </c>
      <c r="H29" s="55"/>
      <c r="I29" s="71"/>
    </row>
    <row r="30" spans="1:13" ht="13.8">
      <c r="A30" s="15" t="s">
        <v>49</v>
      </c>
      <c r="B30" s="117">
        <v>445.92499999999995</v>
      </c>
      <c r="C30" s="68">
        <v>383.75</v>
      </c>
      <c r="D30" s="68">
        <v>281.875</v>
      </c>
      <c r="E30" s="59" t="s">
        <v>77</v>
      </c>
      <c r="F30" s="68">
        <v>478.17499999999995</v>
      </c>
      <c r="G30" s="68">
        <v>322.5</v>
      </c>
      <c r="H30" s="55"/>
      <c r="I30" s="71"/>
    </row>
    <row r="31" spans="1:13" ht="13.8">
      <c r="A31" s="15" t="s">
        <v>50</v>
      </c>
      <c r="B31" s="117">
        <v>467.87</v>
      </c>
      <c r="C31" s="68">
        <v>369.5</v>
      </c>
      <c r="D31" s="68">
        <v>268.5</v>
      </c>
      <c r="E31" s="59" t="s">
        <v>77</v>
      </c>
      <c r="F31" s="68">
        <v>501.17999999999995</v>
      </c>
      <c r="G31" s="68">
        <v>351.5</v>
      </c>
      <c r="H31" s="55"/>
      <c r="I31" s="71"/>
    </row>
    <row r="32" spans="1:13" ht="13.8">
      <c r="A32" s="15" t="s">
        <v>51</v>
      </c>
      <c r="B32" s="117">
        <v>510.90000000000009</v>
      </c>
      <c r="C32" s="68">
        <v>405</v>
      </c>
      <c r="D32" s="68">
        <v>255</v>
      </c>
      <c r="E32" s="59" t="s">
        <v>77</v>
      </c>
      <c r="F32" s="68">
        <v>521.52500000000009</v>
      </c>
      <c r="G32" s="68">
        <v>347.5</v>
      </c>
      <c r="H32" s="55"/>
      <c r="I32" s="71"/>
    </row>
    <row r="33" spans="1:10" ht="13.8">
      <c r="A33" s="15" t="s">
        <v>37</v>
      </c>
      <c r="B33" s="117">
        <v>473.93999999999994</v>
      </c>
      <c r="C33" s="68">
        <v>450</v>
      </c>
      <c r="D33" s="68">
        <v>225</v>
      </c>
      <c r="E33" s="59" t="s">
        <v>77</v>
      </c>
      <c r="F33" s="68">
        <v>434.53999999999996</v>
      </c>
      <c r="G33" s="68" t="s">
        <v>77</v>
      </c>
      <c r="H33" s="55"/>
    </row>
    <row r="34" spans="1:10" ht="13.8">
      <c r="A34" s="15"/>
      <c r="B34" s="117"/>
      <c r="C34" s="68"/>
      <c r="D34" s="68"/>
      <c r="E34" s="59"/>
      <c r="F34" s="68"/>
      <c r="G34" s="68"/>
      <c r="H34" s="55"/>
    </row>
    <row r="35" spans="1:10" ht="13.8">
      <c r="A35" s="35" t="s">
        <v>53</v>
      </c>
      <c r="B35" s="117"/>
      <c r="C35" s="68"/>
      <c r="D35" s="68"/>
      <c r="E35" s="59"/>
      <c r="F35" s="68"/>
      <c r="G35" s="68"/>
      <c r="H35" s="55"/>
    </row>
    <row r="36" spans="1:10" ht="13.8">
      <c r="A36" s="15" t="s">
        <v>38</v>
      </c>
      <c r="B36" s="117">
        <v>468.67499999999995</v>
      </c>
      <c r="C36" s="68">
        <v>451.875</v>
      </c>
      <c r="D36" s="68" t="s">
        <v>77</v>
      </c>
      <c r="E36" s="59" t="s">
        <v>77</v>
      </c>
      <c r="F36" s="68">
        <v>409.17499999999995</v>
      </c>
      <c r="G36" s="68" t="s">
        <v>77</v>
      </c>
      <c r="H36" s="55"/>
    </row>
    <row r="37" spans="1:10" ht="13.8">
      <c r="A37" s="15" t="s">
        <v>39</v>
      </c>
      <c r="B37" s="117">
        <v>436.74999999999994</v>
      </c>
      <c r="C37" s="68">
        <v>405</v>
      </c>
      <c r="D37" s="68" t="s">
        <v>77</v>
      </c>
      <c r="E37" s="59" t="s">
        <v>77</v>
      </c>
      <c r="F37" s="68">
        <v>402.99999999999994</v>
      </c>
      <c r="G37" s="68">
        <v>357.5</v>
      </c>
      <c r="H37" s="55"/>
      <c r="I37" s="71"/>
    </row>
    <row r="38" spans="1:10" ht="13.8">
      <c r="A38" s="15" t="s">
        <v>41</v>
      </c>
      <c r="B38" s="117">
        <v>462.85</v>
      </c>
      <c r="C38" s="68">
        <v>390.625</v>
      </c>
      <c r="D38" s="68">
        <v>200</v>
      </c>
      <c r="E38" s="59" t="s">
        <v>77</v>
      </c>
      <c r="F38" s="68">
        <v>437.09999999999997</v>
      </c>
      <c r="G38" s="68">
        <v>368.5</v>
      </c>
      <c r="H38" s="55"/>
      <c r="I38" s="71"/>
    </row>
    <row r="39" spans="1:10" ht="13.8">
      <c r="A39" s="15" t="s">
        <v>42</v>
      </c>
      <c r="B39" s="117">
        <v>482.40000000000003</v>
      </c>
      <c r="C39" s="68">
        <v>386.25</v>
      </c>
      <c r="D39" s="68">
        <v>355</v>
      </c>
      <c r="E39" s="59" t="s">
        <v>77</v>
      </c>
      <c r="F39" s="68">
        <v>474.02500000000003</v>
      </c>
      <c r="G39" s="68">
        <v>397.5</v>
      </c>
      <c r="I39" s="71"/>
    </row>
    <row r="40" spans="1:10" ht="13.8">
      <c r="A40" s="15" t="s">
        <v>43</v>
      </c>
      <c r="B40" s="117">
        <v>500.52499999999998</v>
      </c>
      <c r="C40" s="68">
        <v>392.5</v>
      </c>
      <c r="D40" s="68">
        <v>336.25</v>
      </c>
      <c r="E40" s="59" t="s">
        <v>77</v>
      </c>
      <c r="F40" s="68">
        <v>501.02499999999998</v>
      </c>
      <c r="G40" s="68">
        <v>412.5</v>
      </c>
      <c r="I40" s="71"/>
    </row>
    <row r="41" spans="1:10" ht="13.8">
      <c r="A41" s="15" t="s">
        <v>45</v>
      </c>
      <c r="B41" s="117">
        <v>484.4</v>
      </c>
      <c r="C41" s="68">
        <v>386.25</v>
      </c>
      <c r="D41" s="68">
        <v>308</v>
      </c>
      <c r="E41" s="59" t="s">
        <v>77</v>
      </c>
      <c r="F41" s="68">
        <v>466.6</v>
      </c>
      <c r="G41" s="68">
        <v>380.4</v>
      </c>
      <c r="I41" s="71"/>
    </row>
    <row r="42" spans="1:10" ht="13.8">
      <c r="A42" s="15" t="s">
        <v>46</v>
      </c>
      <c r="B42" s="117">
        <v>457.25</v>
      </c>
      <c r="C42" s="68">
        <v>364.375</v>
      </c>
      <c r="D42" s="68">
        <v>252.5</v>
      </c>
      <c r="E42" s="59" t="s">
        <v>77</v>
      </c>
      <c r="F42" s="68">
        <v>434.75</v>
      </c>
      <c r="G42" s="68">
        <v>352.5</v>
      </c>
      <c r="I42" s="71"/>
    </row>
    <row r="43" spans="1:10" ht="13.8">
      <c r="A43" s="15" t="s">
        <v>47</v>
      </c>
      <c r="B43" s="117">
        <v>423.57499999999999</v>
      </c>
      <c r="C43" s="68">
        <v>370.625</v>
      </c>
      <c r="D43" s="68">
        <v>237.5</v>
      </c>
      <c r="E43" s="59" t="s">
        <v>77</v>
      </c>
      <c r="F43" s="68">
        <v>407.02500000000003</v>
      </c>
      <c r="G43" s="68">
        <v>352.5</v>
      </c>
      <c r="I43" s="71"/>
    </row>
    <row r="44" spans="1:10" ht="13.8">
      <c r="A44" s="15" t="s">
        <v>49</v>
      </c>
      <c r="B44" s="117">
        <v>413.46000000000004</v>
      </c>
      <c r="C44" s="68">
        <v>362.5</v>
      </c>
      <c r="D44" s="68">
        <v>208.00200000000001</v>
      </c>
      <c r="E44" s="59" t="s">
        <v>77</v>
      </c>
      <c r="F44" s="68">
        <v>405.06000000000006</v>
      </c>
      <c r="G44" s="68">
        <v>354</v>
      </c>
      <c r="I44" s="71"/>
    </row>
    <row r="45" spans="1:10" ht="13.8">
      <c r="A45" s="14" t="s">
        <v>50</v>
      </c>
      <c r="B45" s="137">
        <v>443.15</v>
      </c>
      <c r="C45" s="138">
        <v>347.5</v>
      </c>
      <c r="D45" s="138">
        <v>159.16749999999999</v>
      </c>
      <c r="E45" s="139" t="s">
        <v>77</v>
      </c>
      <c r="F45" s="138">
        <v>432.1</v>
      </c>
      <c r="G45" s="138">
        <v>335</v>
      </c>
      <c r="I45" s="71"/>
    </row>
    <row r="46" spans="1:10" ht="16.2">
      <c r="A46" s="47" t="s">
        <v>155</v>
      </c>
      <c r="B46" s="76"/>
      <c r="C46" s="76"/>
      <c r="D46" s="76"/>
      <c r="E46" s="76"/>
      <c r="F46" s="76"/>
      <c r="G46" s="76"/>
      <c r="I46" s="74"/>
    </row>
    <row r="47" spans="1:10" ht="16.2">
      <c r="A47" s="47" t="s">
        <v>156</v>
      </c>
      <c r="B47" s="77"/>
      <c r="C47" s="77"/>
      <c r="D47" s="77"/>
      <c r="E47" s="77"/>
      <c r="F47" s="77"/>
      <c r="G47" s="77"/>
      <c r="I47" s="74"/>
      <c r="J47" s="74"/>
    </row>
    <row r="48" spans="1:10" ht="14.4">
      <c r="A48" s="15" t="s">
        <v>157</v>
      </c>
      <c r="B48" s="15"/>
      <c r="C48" s="15"/>
      <c r="D48" s="15"/>
      <c r="E48" s="15"/>
      <c r="F48" s="77"/>
      <c r="G48" s="77"/>
      <c r="I48" s="74"/>
      <c r="J48" s="74"/>
    </row>
    <row r="49" spans="1:10" ht="13.8">
      <c r="A49" s="20" t="s">
        <v>56</v>
      </c>
      <c r="B49" s="41">
        <f>Contents!A16</f>
        <v>45153</v>
      </c>
      <c r="C49" s="15"/>
      <c r="D49" s="15"/>
      <c r="E49" s="15"/>
      <c r="F49" s="77"/>
      <c r="G49" s="77"/>
      <c r="I49" s="78"/>
      <c r="J49" s="78"/>
    </row>
    <row r="50" spans="1:10" ht="13.8">
      <c r="F50" s="77"/>
      <c r="G50" s="77"/>
      <c r="I50" s="78"/>
      <c r="J50" s="78"/>
    </row>
    <row r="51" spans="1:10" ht="13.8">
      <c r="F51" s="77"/>
      <c r="G51" s="77"/>
      <c r="I51" s="74"/>
      <c r="J51" s="74"/>
    </row>
    <row r="52" spans="1:10">
      <c r="B52" s="71"/>
      <c r="I52" s="74"/>
      <c r="J52" s="74"/>
    </row>
    <row r="53" spans="1:10">
      <c r="I53" s="74"/>
      <c r="J53" s="74"/>
    </row>
    <row r="54" spans="1:10">
      <c r="I54" s="74"/>
      <c r="J54" s="74"/>
    </row>
    <row r="55" spans="1:10">
      <c r="I55" s="74"/>
      <c r="J55" s="74"/>
    </row>
    <row r="56" spans="1:10">
      <c r="I56" s="74"/>
      <c r="J56" s="74"/>
    </row>
    <row r="58" spans="1:10">
      <c r="I58" s="79"/>
      <c r="J58" s="79"/>
    </row>
    <row r="59" spans="1:10">
      <c r="I59" s="79"/>
      <c r="J59" s="79"/>
    </row>
  </sheetData>
  <phoneticPr fontId="32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55C10-7AB3-4AC4-AC59-EEA28486DA8B}">
  <dimension ref="A1:E91"/>
  <sheetViews>
    <sheetView zoomScaleNormal="100" workbookViewId="0"/>
  </sheetViews>
  <sheetFormatPr defaultColWidth="9.109375" defaultRowHeight="13.2"/>
  <cols>
    <col min="1" max="1" width="14.6640625" style="109" bestFit="1" customWidth="1"/>
    <col min="2" max="2" width="12.33203125" style="109" customWidth="1"/>
    <col min="3" max="3" width="10.6640625" style="109" customWidth="1"/>
    <col min="4" max="16384" width="9.109375" style="109"/>
  </cols>
  <sheetData>
    <row r="1" spans="1:5">
      <c r="A1" s="148" t="s">
        <v>158</v>
      </c>
      <c r="B1" s="149" t="s">
        <v>53</v>
      </c>
      <c r="C1" s="149" t="s">
        <v>159</v>
      </c>
    </row>
    <row r="2" spans="1:5">
      <c r="A2" s="150" t="s">
        <v>160</v>
      </c>
      <c r="B2" s="151">
        <v>344.33</v>
      </c>
      <c r="C2" s="151">
        <v>332.64</v>
      </c>
      <c r="D2" s="154"/>
      <c r="E2" s="134"/>
    </row>
    <row r="3" spans="1:5">
      <c r="A3" s="152" t="s">
        <v>161</v>
      </c>
      <c r="B3" s="151">
        <v>1515.7950000000001</v>
      </c>
      <c r="C3" s="151">
        <v>1421.2</v>
      </c>
      <c r="D3" s="154"/>
      <c r="E3" s="134"/>
    </row>
    <row r="4" spans="1:5">
      <c r="A4" s="152" t="s">
        <v>162</v>
      </c>
      <c r="B4" s="151">
        <v>1231.9849999999999</v>
      </c>
      <c r="C4" s="151">
        <v>1171.78</v>
      </c>
      <c r="D4" s="154"/>
      <c r="E4" s="134"/>
    </row>
    <row r="5" spans="1:5">
      <c r="A5" s="152" t="s">
        <v>163</v>
      </c>
      <c r="B5" s="151">
        <v>410.59500000000003</v>
      </c>
      <c r="C5" s="151">
        <v>463.1</v>
      </c>
      <c r="D5" s="154"/>
      <c r="E5" s="134"/>
    </row>
    <row r="6" spans="1:5">
      <c r="A6" s="152" t="s">
        <v>164</v>
      </c>
      <c r="B6" s="151">
        <v>391.11</v>
      </c>
      <c r="C6" s="151">
        <v>405.3</v>
      </c>
      <c r="D6" s="154"/>
      <c r="E6" s="134"/>
    </row>
    <row r="7" spans="1:5">
      <c r="A7" s="152" t="s">
        <v>165</v>
      </c>
      <c r="B7" s="151">
        <v>382.30799999999999</v>
      </c>
      <c r="C7" s="151">
        <v>411.43</v>
      </c>
      <c r="D7" s="154"/>
      <c r="E7" s="134"/>
    </row>
    <row r="8" spans="1:5">
      <c r="A8" s="152"/>
      <c r="B8" s="161"/>
      <c r="C8" s="161"/>
    </row>
    <row r="9" spans="1:5">
      <c r="B9" s="153"/>
      <c r="C9" s="153"/>
    </row>
    <row r="10" spans="1:5">
      <c r="A10" s="150"/>
      <c r="B10" s="153"/>
      <c r="C10" s="153"/>
    </row>
    <row r="11" spans="1:5">
      <c r="A11" s="152"/>
      <c r="B11" s="153"/>
      <c r="C11" s="153"/>
    </row>
    <row r="12" spans="1:5">
      <c r="A12" s="152"/>
      <c r="B12" s="153"/>
      <c r="C12" s="153"/>
    </row>
    <row r="13" spans="1:5">
      <c r="A13" s="152"/>
      <c r="B13" s="153"/>
      <c r="C13" s="153"/>
    </row>
    <row r="14" spans="1:5">
      <c r="A14" s="152"/>
      <c r="B14" s="154"/>
      <c r="C14" s="154"/>
    </row>
    <row r="15" spans="1:5">
      <c r="A15" s="152"/>
      <c r="B15" s="155"/>
      <c r="C15" s="155"/>
    </row>
    <row r="16" spans="1:5">
      <c r="A16" s="152"/>
      <c r="B16" s="156"/>
      <c r="C16" s="156"/>
    </row>
    <row r="17" spans="1:3">
      <c r="A17" s="152"/>
      <c r="B17" s="157"/>
      <c r="C17" s="157"/>
    </row>
    <row r="18" spans="1:3">
      <c r="A18" s="152"/>
      <c r="B18" s="157"/>
      <c r="C18" s="157"/>
    </row>
    <row r="19" spans="1:3">
      <c r="A19" s="152"/>
      <c r="B19" s="157"/>
      <c r="C19" s="157"/>
    </row>
    <row r="20" spans="1:3">
      <c r="A20" s="152"/>
      <c r="B20" s="157"/>
      <c r="C20" s="157"/>
    </row>
    <row r="21" spans="1:3">
      <c r="A21" s="152"/>
      <c r="B21" s="157"/>
      <c r="C21" s="157"/>
    </row>
    <row r="22" spans="1:3">
      <c r="A22" s="152"/>
      <c r="B22" s="157"/>
      <c r="C22" s="157"/>
    </row>
    <row r="23" spans="1:3">
      <c r="A23" s="152"/>
      <c r="B23" s="152"/>
      <c r="C23" s="152"/>
    </row>
    <row r="24" spans="1:3">
      <c r="A24" s="152"/>
      <c r="B24" s="152"/>
      <c r="C24" s="152"/>
    </row>
    <row r="25" spans="1:3">
      <c r="A25" s="152"/>
      <c r="B25" s="152"/>
      <c r="C25" s="152"/>
    </row>
    <row r="26" spans="1:3">
      <c r="A26" s="152"/>
      <c r="B26" s="152"/>
      <c r="C26" s="152"/>
    </row>
    <row r="27" spans="1:3">
      <c r="A27" s="152"/>
      <c r="B27" s="152"/>
      <c r="C27" s="152"/>
    </row>
    <row r="28" spans="1:3">
      <c r="A28" s="152"/>
      <c r="B28" s="152"/>
      <c r="C28" s="152"/>
    </row>
    <row r="29" spans="1:3">
      <c r="A29" s="152"/>
      <c r="B29" s="152"/>
      <c r="C29" s="152"/>
    </row>
    <row r="30" spans="1:3">
      <c r="A30" s="152"/>
      <c r="B30" s="152"/>
      <c r="C30" s="152"/>
    </row>
    <row r="31" spans="1:3">
      <c r="A31" s="152"/>
      <c r="B31" s="152"/>
      <c r="C31" s="152"/>
    </row>
    <row r="32" spans="1:3">
      <c r="A32" s="152"/>
      <c r="B32" s="152"/>
      <c r="C32" s="152"/>
    </row>
    <row r="33" spans="1:3">
      <c r="A33" s="152"/>
      <c r="B33" s="152"/>
      <c r="C33" s="152"/>
    </row>
    <row r="34" spans="1:3">
      <c r="A34" s="152"/>
      <c r="B34" s="152"/>
      <c r="C34" s="152"/>
    </row>
    <row r="35" spans="1:3">
      <c r="A35" s="152"/>
      <c r="B35" s="152"/>
      <c r="C35" s="152"/>
    </row>
    <row r="36" spans="1:3">
      <c r="A36" s="152"/>
      <c r="B36" s="152"/>
      <c r="C36" s="152"/>
    </row>
    <row r="37" spans="1:3">
      <c r="A37" s="152"/>
      <c r="B37" s="152"/>
      <c r="C37" s="152"/>
    </row>
    <row r="38" spans="1:3">
      <c r="A38" s="152"/>
      <c r="B38" s="152"/>
      <c r="C38" s="152"/>
    </row>
    <row r="39" spans="1:3">
      <c r="A39" s="152"/>
      <c r="B39" s="152"/>
      <c r="C39" s="152"/>
    </row>
    <row r="40" spans="1:3">
      <c r="A40" s="152"/>
      <c r="B40" s="152"/>
      <c r="C40" s="152"/>
    </row>
    <row r="41" spans="1:3">
      <c r="A41" s="152"/>
      <c r="B41" s="152"/>
      <c r="C41" s="152"/>
    </row>
    <row r="42" spans="1:3">
      <c r="A42" s="152"/>
      <c r="B42" s="152"/>
      <c r="C42" s="152"/>
    </row>
    <row r="43" spans="1:3">
      <c r="A43" s="152"/>
      <c r="B43" s="152"/>
      <c r="C43" s="152"/>
    </row>
    <row r="44" spans="1:3">
      <c r="A44" s="152"/>
      <c r="B44" s="152"/>
      <c r="C44" s="152"/>
    </row>
    <row r="45" spans="1:3">
      <c r="A45" s="152"/>
      <c r="B45" s="152"/>
      <c r="C45" s="152"/>
    </row>
    <row r="46" spans="1:3">
      <c r="A46" s="152"/>
      <c r="B46" s="152"/>
      <c r="C46" s="152"/>
    </row>
    <row r="47" spans="1:3">
      <c r="A47" s="152"/>
      <c r="B47" s="152"/>
      <c r="C47" s="152"/>
    </row>
    <row r="48" spans="1:3">
      <c r="A48" s="152"/>
      <c r="B48" s="152"/>
      <c r="C48" s="152"/>
    </row>
    <row r="49" spans="1:3">
      <c r="A49" s="152"/>
      <c r="B49" s="152"/>
      <c r="C49" s="152"/>
    </row>
    <row r="50" spans="1:3">
      <c r="A50" s="152"/>
      <c r="B50" s="152"/>
      <c r="C50" s="152"/>
    </row>
    <row r="51" spans="1:3">
      <c r="A51" s="152"/>
      <c r="B51" s="152"/>
      <c r="C51" s="152"/>
    </row>
    <row r="52" spans="1:3">
      <c r="A52" s="152"/>
      <c r="B52" s="152"/>
      <c r="C52" s="152"/>
    </row>
    <row r="53" spans="1:3">
      <c r="A53" s="152"/>
      <c r="B53" s="152"/>
      <c r="C53" s="152"/>
    </row>
    <row r="54" spans="1:3">
      <c r="A54" s="152"/>
      <c r="B54" s="152"/>
      <c r="C54" s="152"/>
    </row>
    <row r="55" spans="1:3">
      <c r="A55" s="152"/>
      <c r="B55" s="152"/>
      <c r="C55" s="152"/>
    </row>
    <row r="56" spans="1:3">
      <c r="A56" s="152"/>
      <c r="B56" s="152"/>
      <c r="C56" s="152"/>
    </row>
    <row r="57" spans="1:3">
      <c r="A57" s="152"/>
      <c r="B57" s="152"/>
      <c r="C57" s="152"/>
    </row>
    <row r="58" spans="1:3">
      <c r="A58" s="152"/>
      <c r="B58" s="152"/>
      <c r="C58" s="152"/>
    </row>
    <row r="59" spans="1:3">
      <c r="A59" s="152"/>
      <c r="B59" s="152"/>
      <c r="C59" s="152"/>
    </row>
    <row r="60" spans="1:3">
      <c r="A60" s="152"/>
      <c r="B60" s="152"/>
      <c r="C60" s="152"/>
    </row>
    <row r="61" spans="1:3">
      <c r="A61" s="152"/>
      <c r="B61" s="152"/>
      <c r="C61" s="152"/>
    </row>
    <row r="62" spans="1:3">
      <c r="A62" s="152"/>
      <c r="B62" s="152"/>
      <c r="C62" s="152"/>
    </row>
    <row r="63" spans="1:3">
      <c r="A63" s="152"/>
      <c r="B63" s="152"/>
      <c r="C63" s="152"/>
    </row>
    <row r="64" spans="1:3">
      <c r="A64" s="152"/>
      <c r="B64" s="152"/>
      <c r="C64" s="152"/>
    </row>
    <row r="65" spans="1:3">
      <c r="A65" s="152"/>
      <c r="B65" s="152"/>
      <c r="C65" s="152"/>
    </row>
    <row r="66" spans="1:3">
      <c r="A66" s="152"/>
      <c r="B66" s="152"/>
      <c r="C66" s="152"/>
    </row>
    <row r="67" spans="1:3">
      <c r="A67" s="152"/>
      <c r="B67" s="152"/>
      <c r="C67" s="152"/>
    </row>
    <row r="68" spans="1:3">
      <c r="A68" s="152"/>
      <c r="B68" s="152"/>
      <c r="C68" s="152"/>
    </row>
    <row r="69" spans="1:3">
      <c r="A69" s="152"/>
      <c r="B69" s="152"/>
      <c r="C69" s="152"/>
    </row>
    <row r="70" spans="1:3">
      <c r="A70" s="152"/>
      <c r="B70" s="152"/>
      <c r="C70" s="152"/>
    </row>
    <row r="71" spans="1:3">
      <c r="A71" s="152"/>
      <c r="B71" s="152"/>
      <c r="C71" s="152"/>
    </row>
    <row r="72" spans="1:3">
      <c r="A72" s="152"/>
      <c r="B72" s="152"/>
      <c r="C72" s="152"/>
    </row>
    <row r="73" spans="1:3">
      <c r="A73" s="152"/>
      <c r="B73" s="152"/>
      <c r="C73" s="152"/>
    </row>
    <row r="74" spans="1:3">
      <c r="A74" s="152"/>
      <c r="B74" s="152"/>
      <c r="C74" s="152"/>
    </row>
    <row r="75" spans="1:3">
      <c r="A75" s="152"/>
      <c r="B75" s="152"/>
      <c r="C75" s="152"/>
    </row>
    <row r="76" spans="1:3">
      <c r="A76" s="152"/>
      <c r="B76" s="152"/>
      <c r="C76" s="152"/>
    </row>
    <row r="77" spans="1:3">
      <c r="A77" s="152"/>
      <c r="B77" s="152"/>
      <c r="C77" s="152"/>
    </row>
    <row r="78" spans="1:3">
      <c r="A78" s="152"/>
      <c r="B78" s="152"/>
      <c r="C78" s="152"/>
    </row>
    <row r="79" spans="1:3">
      <c r="A79" s="152"/>
      <c r="B79" s="152"/>
      <c r="C79" s="152"/>
    </row>
    <row r="80" spans="1:3">
      <c r="A80" s="152"/>
      <c r="B80" s="152"/>
      <c r="C80" s="152"/>
    </row>
    <row r="81" spans="1:3">
      <c r="A81" s="152"/>
      <c r="B81" s="152"/>
      <c r="C81" s="152"/>
    </row>
    <row r="82" spans="1:3">
      <c r="A82" s="152"/>
      <c r="B82" s="152"/>
      <c r="C82" s="152"/>
    </row>
    <row r="83" spans="1:3">
      <c r="A83" s="152"/>
      <c r="B83" s="152"/>
      <c r="C83" s="152"/>
    </row>
    <row r="84" spans="1:3">
      <c r="A84" s="152"/>
      <c r="B84" s="152"/>
      <c r="C84" s="152"/>
    </row>
    <row r="85" spans="1:3">
      <c r="A85" s="152"/>
      <c r="B85" s="152"/>
      <c r="C85" s="152"/>
    </row>
    <row r="86" spans="1:3">
      <c r="A86" s="152"/>
      <c r="B86" s="152"/>
      <c r="C86" s="152"/>
    </row>
    <row r="87" spans="1:3">
      <c r="A87" s="152"/>
      <c r="B87" s="152"/>
      <c r="C87" s="152"/>
    </row>
    <row r="88" spans="1:3">
      <c r="A88" s="152"/>
      <c r="B88" s="152"/>
      <c r="C88" s="152"/>
    </row>
    <row r="89" spans="1:3">
      <c r="A89" s="152"/>
      <c r="B89" s="152"/>
      <c r="C89" s="152"/>
    </row>
    <row r="90" spans="1:3">
      <c r="A90" s="152"/>
      <c r="B90" s="152"/>
      <c r="C90" s="152"/>
    </row>
    <row r="91" spans="1:3">
      <c r="A91" s="152"/>
      <c r="B91" s="152"/>
      <c r="C91" s="152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AABA5-FF6A-4C66-8593-900333E12A84}">
  <dimension ref="A1:H23"/>
  <sheetViews>
    <sheetView zoomScaleNormal="100" workbookViewId="0"/>
  </sheetViews>
  <sheetFormatPr defaultColWidth="9.109375" defaultRowHeight="13.2"/>
  <cols>
    <col min="1" max="1" width="12.6640625" style="109" bestFit="1" customWidth="1"/>
    <col min="2" max="2" width="12.88671875" style="109" customWidth="1"/>
    <col min="5" max="5" width="12.5546875" style="109" customWidth="1"/>
    <col min="6" max="6" width="13.6640625" style="109" customWidth="1"/>
    <col min="7" max="7" width="9.109375" style="109"/>
    <col min="8" max="8" width="11.5546875" style="109" bestFit="1" customWidth="1"/>
    <col min="9" max="16384" width="9.109375" style="109"/>
  </cols>
  <sheetData>
    <row r="1" spans="1:8" ht="26.4">
      <c r="A1" s="115" t="s">
        <v>158</v>
      </c>
      <c r="B1" s="115" t="s">
        <v>166</v>
      </c>
      <c r="C1" s="115" t="s">
        <v>167</v>
      </c>
      <c r="D1" s="115" t="s">
        <v>168</v>
      </c>
      <c r="E1" s="115" t="s">
        <v>169</v>
      </c>
      <c r="F1" s="115" t="s">
        <v>170</v>
      </c>
      <c r="G1" s="115" t="s">
        <v>171</v>
      </c>
      <c r="H1" s="115" t="s">
        <v>165</v>
      </c>
    </row>
    <row r="2" spans="1:8">
      <c r="A2" s="116" t="s">
        <v>118</v>
      </c>
      <c r="B2" s="128">
        <v>571.54999999999995</v>
      </c>
      <c r="C2" s="129">
        <v>564.85</v>
      </c>
      <c r="D2" s="129">
        <v>2875.45</v>
      </c>
      <c r="E2" s="132">
        <v>379.26</v>
      </c>
      <c r="F2" s="109">
        <v>272</v>
      </c>
      <c r="G2" s="109">
        <v>464</v>
      </c>
      <c r="H2" s="132">
        <v>368.82500000000073</v>
      </c>
    </row>
    <row r="3" spans="1:8">
      <c r="A3" s="116" t="s">
        <v>119</v>
      </c>
      <c r="B3" s="128">
        <v>522.6</v>
      </c>
      <c r="C3" s="129">
        <v>589</v>
      </c>
      <c r="D3" s="129">
        <v>2752.2</v>
      </c>
      <c r="E3" s="132">
        <v>448.8</v>
      </c>
      <c r="F3" s="109">
        <v>235.6</v>
      </c>
      <c r="G3" s="109">
        <v>488</v>
      </c>
      <c r="H3" s="132">
        <v>430.28700000000026</v>
      </c>
    </row>
    <row r="4" spans="1:8">
      <c r="A4" s="116" t="s">
        <v>120</v>
      </c>
      <c r="B4" s="128">
        <v>622.20000000000005</v>
      </c>
      <c r="C4" s="129">
        <v>564.4</v>
      </c>
      <c r="D4" s="129">
        <v>3316.6</v>
      </c>
      <c r="E4" s="132">
        <v>409.5</v>
      </c>
      <c r="F4" s="109">
        <v>296</v>
      </c>
      <c r="G4" s="141">
        <v>484.5</v>
      </c>
      <c r="H4" s="132">
        <v>465.15000000000055</v>
      </c>
    </row>
    <row r="5" spans="1:8">
      <c r="A5" s="113" t="s">
        <v>34</v>
      </c>
      <c r="B5" s="128">
        <v>609.70000000000005</v>
      </c>
      <c r="C5" s="129">
        <v>584.6</v>
      </c>
      <c r="D5" s="129">
        <v>3337.5</v>
      </c>
      <c r="E5" s="132">
        <v>495.9</v>
      </c>
      <c r="F5" s="109">
        <v>277.2</v>
      </c>
      <c r="G5" s="141">
        <v>578.34</v>
      </c>
      <c r="H5" s="132">
        <v>478.09100000000035</v>
      </c>
    </row>
    <row r="6" spans="1:8">
      <c r="A6" s="113" t="s">
        <v>53</v>
      </c>
      <c r="B6" s="128">
        <v>558.9</v>
      </c>
      <c r="C6" s="129">
        <v>553.79999999999995</v>
      </c>
      <c r="D6" s="129">
        <v>2890</v>
      </c>
      <c r="E6" s="132">
        <v>510.4</v>
      </c>
      <c r="F6" s="109">
        <v>285.60000000000002</v>
      </c>
      <c r="G6" s="109">
        <v>336</v>
      </c>
      <c r="H6" s="132">
        <v>433.44999999999982</v>
      </c>
    </row>
    <row r="7" spans="1:8">
      <c r="A7" s="113" t="s">
        <v>159</v>
      </c>
      <c r="B7" s="128">
        <v>576.15</v>
      </c>
      <c r="C7" s="129">
        <v>627</v>
      </c>
      <c r="D7" s="129">
        <v>3246.5</v>
      </c>
      <c r="E7" s="132">
        <v>550.4</v>
      </c>
      <c r="F7" s="109">
        <v>311.60000000000002</v>
      </c>
      <c r="G7" s="109">
        <v>445</v>
      </c>
      <c r="H7" s="109">
        <v>463.20000000000101</v>
      </c>
    </row>
    <row r="8" spans="1:8">
      <c r="B8" s="128"/>
      <c r="C8" s="128"/>
      <c r="D8" s="128"/>
      <c r="E8" s="128"/>
      <c r="F8" s="128"/>
      <c r="G8" s="128"/>
      <c r="H8" s="128"/>
    </row>
    <row r="9" spans="1:8">
      <c r="B9" s="124"/>
      <c r="C9" s="110"/>
      <c r="D9" s="159"/>
      <c r="E9" s="134"/>
    </row>
    <row r="10" spans="1:8">
      <c r="B10" s="120"/>
      <c r="D10" s="122"/>
    </row>
    <row r="11" spans="1:8">
      <c r="B11" s="120"/>
      <c r="D11" s="122"/>
    </row>
    <row r="12" spans="1:8">
      <c r="B12" s="120"/>
      <c r="D12" s="160"/>
      <c r="E12" s="133"/>
    </row>
    <row r="13" spans="1:8">
      <c r="B13" s="120"/>
    </row>
    <row r="14" spans="1:8">
      <c r="B14" s="120"/>
    </row>
    <row r="15" spans="1:8">
      <c r="B15" s="120"/>
    </row>
    <row r="16" spans="1:8">
      <c r="B16" s="120"/>
    </row>
    <row r="17" spans="1:2" customFormat="1">
      <c r="A17" s="109"/>
      <c r="B17" s="120"/>
    </row>
    <row r="18" spans="1:2" customFormat="1">
      <c r="A18" s="109"/>
      <c r="B18" s="120"/>
    </row>
    <row r="19" spans="1:2" customFormat="1">
      <c r="A19" s="109"/>
      <c r="B19" s="120"/>
    </row>
    <row r="20" spans="1:2" customFormat="1">
      <c r="A20" s="109"/>
      <c r="B20" s="120"/>
    </row>
    <row r="21" spans="1:2" customFormat="1">
      <c r="A21" s="109"/>
      <c r="B21" s="120"/>
    </row>
    <row r="22" spans="1:2" customFormat="1">
      <c r="A22" s="109"/>
      <c r="B22" s="120"/>
    </row>
    <row r="23" spans="1:2" customFormat="1">
      <c r="A23" s="109"/>
      <c r="B23" s="120"/>
    </row>
  </sheetData>
  <phoneticPr fontId="32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921D-EE91-4B39-9396-861EDF1BA3CB}">
  <dimension ref="A1:O55"/>
  <sheetViews>
    <sheetView zoomScaleNormal="100" workbookViewId="0">
      <pane xSplit="1" ySplit="2" topLeftCell="B3" activePane="bottomRight" state="frozen"/>
      <selection pane="topRight" activeCell="R22" sqref="R22"/>
      <selection pane="bottomLeft" activeCell="R22" sqref="R22"/>
      <selection pane="bottomRight"/>
    </sheetView>
  </sheetViews>
  <sheetFormatPr defaultColWidth="9.109375" defaultRowHeight="13.2"/>
  <cols>
    <col min="1" max="1" width="14.33203125" style="119" customWidth="1"/>
    <col min="2" max="2" width="18.44140625" style="119" customWidth="1"/>
    <col min="3" max="16384" width="9.109375" style="119"/>
  </cols>
  <sheetData>
    <row r="1" spans="1:3">
      <c r="B1" s="147" t="s">
        <v>172</v>
      </c>
    </row>
    <row r="2" spans="1:3">
      <c r="A2" s="146" t="s">
        <v>173</v>
      </c>
      <c r="B2" s="145" t="s">
        <v>34</v>
      </c>
      <c r="C2" s="119" t="s">
        <v>53</v>
      </c>
    </row>
    <row r="3" spans="1:3">
      <c r="A3" s="144" t="s">
        <v>174</v>
      </c>
      <c r="B3" s="140">
        <v>778.31818181818198</v>
      </c>
      <c r="C3" s="143">
        <v>702.73913043478262</v>
      </c>
    </row>
    <row r="4" spans="1:3">
      <c r="A4" s="144" t="s">
        <v>175</v>
      </c>
      <c r="B4" s="140">
        <v>765.90909090909088</v>
      </c>
      <c r="C4" s="143">
        <v>655.22727272727275</v>
      </c>
    </row>
    <row r="5" spans="1:3">
      <c r="A5" s="144" t="s">
        <v>176</v>
      </c>
      <c r="B5" s="140">
        <v>804.66666666666663</v>
      </c>
      <c r="C5" s="143">
        <v>681.1</v>
      </c>
    </row>
    <row r="6" spans="1:3">
      <c r="A6" s="144" t="s">
        <v>177</v>
      </c>
      <c r="B6" s="140">
        <v>870.72727272727275</v>
      </c>
      <c r="C6" s="143">
        <v>689.59090909090912</v>
      </c>
    </row>
    <row r="7" spans="1:3">
      <c r="A7" s="144" t="s">
        <v>178</v>
      </c>
      <c r="B7" s="140">
        <v>856</v>
      </c>
      <c r="C7" s="143">
        <v>683.77272727272725</v>
      </c>
    </row>
    <row r="8" spans="1:3">
      <c r="A8" s="144" t="s">
        <v>179</v>
      </c>
      <c r="B8" s="140">
        <v>866.52380952380952</v>
      </c>
      <c r="C8" s="143">
        <v>672.63636363636363</v>
      </c>
    </row>
    <row r="9" spans="1:3">
      <c r="A9" s="144" t="s">
        <v>180</v>
      </c>
      <c r="B9" s="140">
        <v>866.35</v>
      </c>
      <c r="C9" s="143">
        <v>666.5</v>
      </c>
    </row>
    <row r="10" spans="1:3">
      <c r="A10" s="144" t="s">
        <v>181</v>
      </c>
      <c r="B10" s="140">
        <v>940.95652173913038</v>
      </c>
      <c r="C10" s="143">
        <v>620.39130434782612</v>
      </c>
    </row>
    <row r="11" spans="1:3">
      <c r="A11" s="144" t="s">
        <v>182</v>
      </c>
      <c r="B11" s="140">
        <v>979.61904761904759</v>
      </c>
      <c r="C11" s="143">
        <v>604.54999999999995</v>
      </c>
    </row>
    <row r="12" spans="1:3">
      <c r="A12" s="144" t="s">
        <v>47</v>
      </c>
      <c r="B12" s="140">
        <v>963.31818181818187</v>
      </c>
      <c r="C12" s="143">
        <v>572.86956521739125</v>
      </c>
    </row>
    <row r="13" spans="1:3">
      <c r="A13" s="144" t="s">
        <v>183</v>
      </c>
      <c r="B13" s="140">
        <v>865.59090909090912</v>
      </c>
      <c r="C13" s="143">
        <v>581.72727272727275</v>
      </c>
    </row>
    <row r="14" spans="1:3">
      <c r="A14" s="144" t="s">
        <v>184</v>
      </c>
      <c r="B14" s="140">
        <v>720.04761904761904</v>
      </c>
      <c r="C14" s="143">
        <v>643</v>
      </c>
    </row>
    <row r="15" spans="1:3">
      <c r="A15" s="144"/>
      <c r="B15" s="140"/>
      <c r="C15" s="143"/>
    </row>
    <row r="16" spans="1:3">
      <c r="A16" s="144"/>
      <c r="B16" s="140"/>
      <c r="C16" s="143"/>
    </row>
    <row r="17" spans="1:15">
      <c r="A17" s="144"/>
      <c r="B17" s="141"/>
      <c r="C17" s="143"/>
    </row>
    <row r="18" spans="1:15">
      <c r="A18" s="144"/>
      <c r="B18" s="141"/>
      <c r="C18" s="143"/>
    </row>
    <row r="19" spans="1:15">
      <c r="A19" s="144"/>
      <c r="B19" s="143"/>
      <c r="C19" s="143"/>
    </row>
    <row r="20" spans="1:15">
      <c r="A20" s="144"/>
      <c r="B20" s="143"/>
      <c r="C20" s="143"/>
    </row>
    <row r="21" spans="1:15">
      <c r="A21" s="144"/>
      <c r="B21" s="141"/>
      <c r="C21" s="143"/>
    </row>
    <row r="22" spans="1:15">
      <c r="A22" s="144"/>
      <c r="B22" s="141"/>
      <c r="C22" s="143"/>
    </row>
    <row r="23" spans="1:15">
      <c r="A23" s="144"/>
      <c r="B23" s="141"/>
      <c r="C23" s="143"/>
    </row>
    <row r="24" spans="1:15">
      <c r="A24" s="144"/>
      <c r="B24" s="141"/>
      <c r="C24" s="143"/>
    </row>
    <row r="25" spans="1:15">
      <c r="A25" s="144"/>
      <c r="B25" s="141"/>
      <c r="C25" s="143"/>
    </row>
    <row r="26" spans="1:15">
      <c r="A26" s="144"/>
      <c r="B26" s="143"/>
      <c r="C26" s="143"/>
    </row>
    <row r="27" spans="1:15">
      <c r="A27" s="144"/>
      <c r="B27" s="143"/>
      <c r="C27" s="143"/>
    </row>
    <row r="28" spans="1:15">
      <c r="A28" s="144"/>
      <c r="B28" s="141"/>
      <c r="C28" s="143"/>
    </row>
    <row r="29" spans="1:15">
      <c r="A29" s="144"/>
      <c r="B29" s="143"/>
      <c r="C29" s="143"/>
      <c r="O29" s="141"/>
    </row>
    <row r="30" spans="1:15">
      <c r="A30" s="144"/>
      <c r="B30" s="143"/>
      <c r="C30" s="143"/>
      <c r="O30" s="141"/>
    </row>
    <row r="31" spans="1:15">
      <c r="A31" s="144"/>
      <c r="B31" s="141"/>
      <c r="C31" s="143"/>
    </row>
    <row r="32" spans="1:15">
      <c r="A32" s="144"/>
      <c r="B32" s="141"/>
      <c r="C32" s="143"/>
    </row>
    <row r="33" spans="1:3">
      <c r="A33" s="144"/>
      <c r="B33" s="143"/>
      <c r="C33" s="143"/>
    </row>
    <row r="34" spans="1:3">
      <c r="A34" s="144"/>
      <c r="B34" s="143"/>
      <c r="C34" s="143"/>
    </row>
    <row r="35" spans="1:3">
      <c r="A35" s="144"/>
      <c r="B35" s="141"/>
      <c r="C35" s="143"/>
    </row>
    <row r="36" spans="1:3">
      <c r="A36" s="144"/>
      <c r="B36" s="141"/>
      <c r="C36" s="143"/>
    </row>
    <row r="37" spans="1:3">
      <c r="A37" s="144"/>
      <c r="B37" s="141"/>
      <c r="C37" s="143"/>
    </row>
    <row r="38" spans="1:3">
      <c r="A38" s="144"/>
      <c r="B38" s="141"/>
      <c r="C38" s="143"/>
    </row>
    <row r="39" spans="1:3">
      <c r="A39" s="144"/>
      <c r="B39" s="141"/>
      <c r="C39" s="143"/>
    </row>
    <row r="40" spans="1:3">
      <c r="A40" s="144"/>
      <c r="B40" s="141"/>
      <c r="C40" s="143"/>
    </row>
    <row r="41" spans="1:3">
      <c r="A41" s="144"/>
      <c r="B41" s="143"/>
      <c r="C41" s="143"/>
    </row>
    <row r="42" spans="1:3">
      <c r="A42" s="144"/>
      <c r="B42" s="143"/>
      <c r="C42" s="143"/>
    </row>
    <row r="43" spans="1:3">
      <c r="A43" s="144"/>
      <c r="B43" s="141"/>
      <c r="C43" s="143"/>
    </row>
    <row r="44" spans="1:3">
      <c r="A44" s="144"/>
      <c r="B44" s="141"/>
      <c r="C44" s="143"/>
    </row>
    <row r="45" spans="1:3">
      <c r="A45" s="144"/>
      <c r="B45" s="141"/>
      <c r="C45" s="143"/>
    </row>
    <row r="46" spans="1:3">
      <c r="A46" s="144"/>
      <c r="B46" s="141"/>
      <c r="C46" s="143"/>
    </row>
    <row r="47" spans="1:3">
      <c r="A47" s="144"/>
      <c r="B47" s="141"/>
      <c r="C47" s="143"/>
    </row>
    <row r="48" spans="1:3">
      <c r="A48" s="144"/>
      <c r="B48" s="141"/>
      <c r="C48" s="143"/>
    </row>
    <row r="49" spans="1:3">
      <c r="A49" s="144"/>
      <c r="B49" s="141"/>
    </row>
    <row r="50" spans="1:3">
      <c r="A50" s="144"/>
      <c r="B50" s="141"/>
      <c r="C50" s="143"/>
    </row>
    <row r="51" spans="1:3">
      <c r="A51" s="144"/>
      <c r="B51" s="141"/>
      <c r="C51" s="143"/>
    </row>
    <row r="52" spans="1:3">
      <c r="A52" s="144"/>
      <c r="B52" s="141"/>
    </row>
    <row r="53" spans="1:3">
      <c r="A53" s="144"/>
      <c r="B53" s="142"/>
    </row>
    <row r="54" spans="1:3">
      <c r="A54" s="144"/>
    </row>
    <row r="55" spans="1:3">
      <c r="A55" s="144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5" ma:contentTypeDescription="Create a new document." ma:contentTypeScope="" ma:versionID="57dc3235c951814817744eeddbaef84b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d25759a2e0a6c409a5675b9d3245aeb3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F9FD27-698A-4259-BC06-6D4A65A05AE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B962478-6736-46F8-AD75-7EF5A8C152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3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Aaron Ates;Maria Bukowski</dc:creator>
  <cp:keywords>oil crops, outlook, soybeans, soybean meal, soybean oil, cottonseed, sunflowerseed, sunflowerseed oil, peanuts, canola, canola oil, supply, disappearance, price, USDA, U.S. Department of Agriculture, ERS, Economic Research Service</cp:keywords>
  <dc:description/>
  <cp:lastModifiedBy>Bukowski, Maria - REE-ERS</cp:lastModifiedBy>
  <cp:revision/>
  <dcterms:created xsi:type="dcterms:W3CDTF">2001-11-13T16:22:15Z</dcterms:created>
  <dcterms:modified xsi:type="dcterms:W3CDTF">2023-08-15T13:38:00Z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</Properties>
</file>