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K:\ERS Projects- Active\Monthly Outlook Reports\Oil Crops Outlook\"/>
    </mc:Choice>
  </mc:AlternateContent>
  <xr:revisionPtr revIDLastSave="0" documentId="13_ncr:1_{42968ECB-D830-47C1-9995-532D37187716}" xr6:coauthVersionLast="47" xr6:coauthVersionMax="47" xr10:uidLastSave="{00000000-0000-0000-0000-000000000000}"/>
  <bookViews>
    <workbookView xWindow="42975" yWindow="990" windowWidth="12150" windowHeight="12825" tabRatio="682" firstSheet="2" activeTab="8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54" r:id="rId9"/>
    <sheet name="Figure 2 " sheetId="152" r:id="rId10"/>
    <sheet name="Figure 3" sheetId="156" r:id="rId11"/>
    <sheet name="Figure 4" sheetId="157" r:id="rId12"/>
    <sheet name="Figure 5" sheetId="153" r:id="rId13"/>
    <sheet name="Figure 6" sheetId="159" r:id="rId14"/>
  </sheets>
  <definedNames>
    <definedName name="_xlnm.Print_Area" localSheetId="1">'Table 1'!$A$1:$N$32</definedName>
    <definedName name="_xlnm.Print_Area" localSheetId="7">'Table 10'!$A$1:$G$38</definedName>
    <definedName name="_xlnm.Print_Area" localSheetId="2">'Table 2'!$A$1:$J$40</definedName>
    <definedName name="_xlnm.Print_Area" localSheetId="3">'Table 3'!$A$1:$L$53</definedName>
    <definedName name="_xlnm.Print_Area" localSheetId="5">'Table 8'!$A$1:$G$37</definedName>
    <definedName name="_xlnm.Print_Area" localSheetId="6">'Table 9'!$A$1:$I$39</definedName>
    <definedName name="_xlnm.Print_Area" localSheetId="4">'Tables 4-7'!$A$1:$O$52</definedName>
    <definedName name="WASDE_Updated" localSheetId="0">Contents!#REF!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L45" i="3"/>
  <c r="E46" i="3"/>
  <c r="N46" i="3"/>
  <c r="J7" i="3"/>
  <c r="J6" i="3"/>
  <c r="E7" i="3"/>
  <c r="C38" i="2"/>
  <c r="C7" i="2"/>
  <c r="E8" i="2" l="1"/>
  <c r="H38" i="2"/>
  <c r="G30" i="1" l="1"/>
  <c r="G7" i="2" l="1"/>
  <c r="D7" i="2"/>
  <c r="H7" i="2"/>
  <c r="L30" i="1"/>
  <c r="I38" i="2"/>
  <c r="D37" i="2"/>
  <c r="D38" i="2"/>
  <c r="E38" i="9"/>
  <c r="E23" i="9"/>
  <c r="K38" i="9"/>
  <c r="G38" i="9"/>
  <c r="D38" i="9"/>
  <c r="E37" i="9"/>
  <c r="D37" i="9"/>
  <c r="B37" i="9" l="1"/>
  <c r="J38" i="9"/>
  <c r="D23" i="2"/>
  <c r="H37" i="2"/>
  <c r="J37" i="9"/>
  <c r="J7" i="2"/>
  <c r="E37" i="2"/>
  <c r="B37" i="2"/>
  <c r="J30" i="1"/>
  <c r="G8" i="9" l="1"/>
  <c r="L7" i="9"/>
  <c r="J7" i="9"/>
  <c r="D7" i="9"/>
  <c r="I36" i="9"/>
  <c r="C38" i="9"/>
  <c r="F7" i="2"/>
  <c r="I37" i="2"/>
  <c r="G37" i="2" s="1"/>
  <c r="G38" i="2" s="1"/>
  <c r="E38" i="2"/>
  <c r="E7" i="2" s="1"/>
  <c r="E30" i="1"/>
  <c r="N7" i="1"/>
  <c r="E8" i="1" s="1"/>
  <c r="F7" i="1"/>
  <c r="L27" i="1"/>
  <c r="L7" i="1" s="1"/>
  <c r="G27" i="1"/>
  <c r="G7" i="1" s="1"/>
  <c r="L25" i="1"/>
  <c r="J25" i="1"/>
  <c r="G25" i="1"/>
  <c r="L24" i="1"/>
  <c r="J24" i="1"/>
  <c r="G24" i="1"/>
  <c r="L23" i="1"/>
  <c r="J23" i="1"/>
  <c r="G23" i="1"/>
  <c r="N22" i="1"/>
  <c r="E26" i="1" s="1"/>
  <c r="L21" i="1"/>
  <c r="J21" i="1"/>
  <c r="G21" i="1"/>
  <c r="L20" i="1"/>
  <c r="J20" i="1"/>
  <c r="G20" i="1"/>
  <c r="L19" i="1"/>
  <c r="J19" i="1"/>
  <c r="G19" i="1"/>
  <c r="N18" i="1"/>
  <c r="E22" i="1" s="1"/>
  <c r="L17" i="1"/>
  <c r="J17" i="1"/>
  <c r="G17" i="1"/>
  <c r="L16" i="1"/>
  <c r="J16" i="1"/>
  <c r="G16" i="1"/>
  <c r="L15" i="1"/>
  <c r="L18" i="1" s="1"/>
  <c r="J15" i="1"/>
  <c r="G15" i="1"/>
  <c r="N14" i="1"/>
  <c r="E18" i="1" s="1"/>
  <c r="L13" i="1"/>
  <c r="J13" i="1"/>
  <c r="G13" i="1"/>
  <c r="L12" i="1"/>
  <c r="J12" i="1"/>
  <c r="G12" i="1"/>
  <c r="L11" i="1"/>
  <c r="L14" i="1" s="1"/>
  <c r="J11" i="1"/>
  <c r="G11" i="1"/>
  <c r="H6" i="1"/>
  <c r="H23" i="9"/>
  <c r="H23" i="2"/>
  <c r="I32" i="3"/>
  <c r="K37" i="9" l="1"/>
  <c r="G37" i="9" s="1"/>
  <c r="E7" i="9"/>
  <c r="K7" i="9" s="1"/>
  <c r="C7" i="9"/>
  <c r="G26" i="1"/>
  <c r="G14" i="1"/>
  <c r="H26" i="1"/>
  <c r="M26" i="1" s="1"/>
  <c r="J22" i="1"/>
  <c r="L22" i="1"/>
  <c r="G18" i="1"/>
  <c r="H18" i="1" s="1"/>
  <c r="M18" i="1" s="1"/>
  <c r="K18" i="1" s="1"/>
  <c r="J18" i="1"/>
  <c r="J26" i="1"/>
  <c r="L26" i="1"/>
  <c r="G22" i="1"/>
  <c r="H22" i="1" s="1"/>
  <c r="M22" i="1" s="1"/>
  <c r="J14" i="1"/>
  <c r="E14" i="1"/>
  <c r="H14" i="1" s="1"/>
  <c r="M14" i="1" s="1"/>
  <c r="D7" i="1"/>
  <c r="K14" i="1" l="1"/>
  <c r="K26" i="1"/>
  <c r="J27" i="1"/>
  <c r="J7" i="1" s="1"/>
  <c r="K22" i="1"/>
  <c r="D36" i="9" l="1"/>
  <c r="J36" i="9"/>
  <c r="D36" i="2"/>
  <c r="H36" i="2"/>
  <c r="B36" i="2"/>
  <c r="E36" i="2" s="1"/>
  <c r="I36" i="2" s="1"/>
  <c r="B35" i="2"/>
  <c r="B35" i="9"/>
  <c r="E35" i="9" s="1"/>
  <c r="K35" i="9" s="1"/>
  <c r="B34" i="9"/>
  <c r="B36" i="9"/>
  <c r="E36" i="9" s="1"/>
  <c r="K36" i="9" s="1"/>
  <c r="H35" i="2"/>
  <c r="D35" i="2"/>
  <c r="J35" i="9"/>
  <c r="D35" i="9"/>
  <c r="J23" i="9"/>
  <c r="G36" i="2" l="1"/>
  <c r="I7" i="2"/>
  <c r="G35" i="9"/>
  <c r="I35" i="9" s="1"/>
  <c r="E35" i="2"/>
  <c r="I35" i="2" s="1"/>
  <c r="G35" i="2" s="1"/>
  <c r="G36" i="9"/>
  <c r="D46" i="3"/>
  <c r="D34" i="9" l="1"/>
  <c r="D34" i="2"/>
  <c r="J33" i="9"/>
  <c r="H34" i="2"/>
  <c r="J34" i="9"/>
  <c r="H33" i="2"/>
  <c r="B34" i="2" l="1"/>
  <c r="E34" i="2" s="1"/>
  <c r="I34" i="2" s="1"/>
  <c r="G34" i="2" s="1"/>
  <c r="J8" i="3"/>
  <c r="I33" i="3"/>
  <c r="H32" i="2"/>
  <c r="H31" i="2"/>
  <c r="H30" i="2"/>
  <c r="H29" i="2"/>
  <c r="H28" i="2"/>
  <c r="H27" i="2"/>
  <c r="H26" i="2"/>
  <c r="H22" i="2"/>
  <c r="H21" i="2"/>
  <c r="H20" i="2"/>
  <c r="H19" i="2"/>
  <c r="H18" i="2"/>
  <c r="H14" i="2"/>
  <c r="H13" i="2"/>
  <c r="I8" i="2" l="1"/>
  <c r="J28" i="9"/>
  <c r="J27" i="9"/>
  <c r="J26" i="9"/>
  <c r="J22" i="9"/>
  <c r="J21" i="9"/>
  <c r="J20" i="9"/>
  <c r="J19" i="9"/>
  <c r="J18" i="9"/>
  <c r="J17" i="9"/>
  <c r="J16" i="9"/>
  <c r="J15" i="9"/>
  <c r="J14" i="9"/>
  <c r="J13" i="9"/>
  <c r="J11" i="9"/>
  <c r="K8" i="9"/>
  <c r="D27" i="9" l="1"/>
  <c r="D26" i="9"/>
  <c r="D22" i="9"/>
  <c r="D21" i="9"/>
  <c r="D20" i="9"/>
  <c r="D19" i="9"/>
  <c r="D18" i="9"/>
  <c r="D17" i="9"/>
  <c r="D16" i="9"/>
  <c r="D15" i="9"/>
  <c r="D14" i="9"/>
  <c r="D13" i="9"/>
  <c r="D23" i="9"/>
  <c r="D28" i="2"/>
  <c r="D27" i="2"/>
  <c r="D26" i="2"/>
  <c r="D22" i="2"/>
  <c r="D21" i="2"/>
  <c r="D20" i="2"/>
  <c r="D19" i="2"/>
  <c r="D18" i="2"/>
  <c r="D17" i="2"/>
  <c r="D16" i="2"/>
  <c r="D15" i="2"/>
  <c r="D14" i="2"/>
  <c r="D11" i="2"/>
  <c r="H17" i="2"/>
  <c r="H16" i="2"/>
  <c r="H15" i="2"/>
  <c r="H12" i="2"/>
  <c r="H11" i="2"/>
  <c r="D8" i="1"/>
  <c r="D33" i="9" l="1"/>
  <c r="D33" i="2" l="1"/>
  <c r="B33" i="9" l="1"/>
  <c r="E33" i="9" s="1"/>
  <c r="B33" i="2"/>
  <c r="E33" i="2" s="1"/>
  <c r="I33" i="2" s="1"/>
  <c r="G33" i="2" s="1"/>
  <c r="K33" i="9" l="1"/>
  <c r="G33" i="9" s="1"/>
  <c r="I33" i="9" s="1"/>
  <c r="J32" i="9"/>
  <c r="D32" i="9"/>
  <c r="D32" i="2"/>
  <c r="M8" i="1" l="1"/>
  <c r="B32" i="9" l="1"/>
  <c r="E32" i="9" s="1"/>
  <c r="K32" i="9" s="1"/>
  <c r="G32" i="9" s="1"/>
  <c r="I32" i="9" s="1"/>
  <c r="B32" i="2"/>
  <c r="E32" i="2" s="1"/>
  <c r="I32" i="2" s="1"/>
  <c r="G32" i="2" s="1"/>
  <c r="D31" i="9"/>
  <c r="D31" i="2"/>
  <c r="J31" i="9" l="1"/>
  <c r="I21" i="3" l="1"/>
  <c r="B11" i="9"/>
  <c r="B11" i="2"/>
  <c r="B31" i="9" l="1"/>
  <c r="E31" i="9" s="1"/>
  <c r="K31" i="9" s="1"/>
  <c r="G31" i="9" s="1"/>
  <c r="I31" i="9" s="1"/>
  <c r="B31" i="2"/>
  <c r="E31" i="2" s="1"/>
  <c r="I31" i="2" s="1"/>
  <c r="G31" i="2" s="1"/>
  <c r="D30" i="9" l="1"/>
  <c r="D30" i="2"/>
  <c r="J30" i="9" l="1"/>
  <c r="B30" i="9" l="1"/>
  <c r="E30" i="9" s="1"/>
  <c r="K30" i="9" s="1"/>
  <c r="G30" i="9" s="1"/>
  <c r="I30" i="9" s="1"/>
  <c r="B30" i="2"/>
  <c r="E30" i="2" s="1"/>
  <c r="I30" i="2" s="1"/>
  <c r="G30" i="2" s="1"/>
  <c r="J29" i="9" l="1"/>
  <c r="D29" i="9"/>
  <c r="D29" i="2"/>
  <c r="B29" i="9"/>
  <c r="E29" i="9" s="1"/>
  <c r="K29" i="9" s="1"/>
  <c r="B29" i="2"/>
  <c r="E29" i="2" s="1"/>
  <c r="I29" i="2" s="1"/>
  <c r="G29" i="2" s="1"/>
  <c r="G29" i="9" l="1"/>
  <c r="I29" i="9" s="1"/>
  <c r="D28" i="9"/>
  <c r="B28" i="9" l="1"/>
  <c r="E28" i="9" s="1"/>
  <c r="K28" i="9" s="1"/>
  <c r="G28" i="9" s="1"/>
  <c r="I28" i="9" s="1"/>
  <c r="B28" i="2"/>
  <c r="E28" i="2" s="1"/>
  <c r="I28" i="2" s="1"/>
  <c r="G28" i="2" s="1"/>
  <c r="B27" i="9" l="1"/>
  <c r="E27" i="9" s="1"/>
  <c r="K27" i="9" s="1"/>
  <c r="G27" i="9" s="1"/>
  <c r="I27" i="9" s="1"/>
  <c r="B27" i="2"/>
  <c r="E27" i="2" s="1"/>
  <c r="I27" i="2" s="1"/>
  <c r="G27" i="2" s="1"/>
  <c r="B26" i="9" l="1"/>
  <c r="E26" i="9" s="1"/>
  <c r="K26" i="9" s="1"/>
  <c r="G26" i="9" s="1"/>
  <c r="I26" i="9" s="1"/>
  <c r="B26" i="2"/>
  <c r="E26" i="2" l="1"/>
  <c r="I26" i="2" s="1"/>
  <c r="G26" i="2" s="1"/>
  <c r="L6" i="9" l="1"/>
  <c r="J6" i="9"/>
  <c r="D6" i="9"/>
  <c r="C23" i="9"/>
  <c r="C6" i="9" s="1"/>
  <c r="B22" i="9"/>
  <c r="E22" i="9" s="1"/>
  <c r="K22" i="9" s="1"/>
  <c r="J6" i="2"/>
  <c r="B22" i="2"/>
  <c r="E22" i="2" s="1"/>
  <c r="I22" i="2" s="1"/>
  <c r="G22" i="2" s="1"/>
  <c r="C23" i="2"/>
  <c r="C6" i="2" s="1"/>
  <c r="G22" i="9" l="1"/>
  <c r="I22" i="9" s="1"/>
  <c r="B40" i="6" l="1"/>
  <c r="B40" i="5"/>
  <c r="B39" i="4"/>
  <c r="B50" i="3"/>
  <c r="B41" i="9"/>
  <c r="B41" i="2"/>
  <c r="B21" i="2" l="1"/>
  <c r="E21" i="2" s="1"/>
  <c r="I21" i="2" s="1"/>
  <c r="G21" i="2" s="1"/>
  <c r="B21" i="9"/>
  <c r="E21" i="9" s="1"/>
  <c r="K21" i="9" s="1"/>
  <c r="E7" i="1" l="1"/>
  <c r="H7" i="1" s="1"/>
  <c r="M7" i="1" s="1"/>
  <c r="G21" i="9"/>
  <c r="I21" i="9" l="1"/>
  <c r="B20" i="9" l="1"/>
  <c r="E20" i="9" s="1"/>
  <c r="K20" i="9" s="1"/>
  <c r="G20" i="9" s="1"/>
  <c r="I20" i="9" s="1"/>
  <c r="B20" i="2"/>
  <c r="E20" i="2" s="1"/>
  <c r="I20" i="2" s="1"/>
  <c r="G20" i="2" s="1"/>
  <c r="D45" i="3" l="1"/>
  <c r="H6" i="2" l="1"/>
  <c r="D13" i="2"/>
  <c r="D12" i="2"/>
  <c r="D6" i="2" l="1"/>
  <c r="D12" i="9"/>
  <c r="D11" i="9"/>
  <c r="J12" i="9" l="1"/>
  <c r="B19" i="9" l="1"/>
  <c r="E19" i="9" s="1"/>
  <c r="K19" i="9" s="1"/>
  <c r="G19" i="9" s="1"/>
  <c r="I19" i="9" s="1"/>
  <c r="B19" i="2"/>
  <c r="E19" i="2" s="1"/>
  <c r="I19" i="2" s="1"/>
  <c r="G19" i="2" s="1"/>
  <c r="B18" i="2" l="1"/>
  <c r="E18" i="2" s="1"/>
  <c r="I18" i="2" s="1"/>
  <c r="G18" i="2" s="1"/>
  <c r="B18" i="9"/>
  <c r="E18" i="9" s="1"/>
  <c r="K18" i="9" s="1"/>
  <c r="G18" i="9" s="1"/>
  <c r="I18" i="9" s="1"/>
  <c r="B17" i="9" l="1"/>
  <c r="E17" i="9" s="1"/>
  <c r="K17" i="9" s="1"/>
  <c r="G17" i="9" s="1"/>
  <c r="I17" i="9" s="1"/>
  <c r="B17" i="2"/>
  <c r="E17" i="2" s="1"/>
  <c r="I17" i="2" s="1"/>
  <c r="G17" i="2" s="1"/>
  <c r="E45" i="3" l="1"/>
  <c r="H45" i="3" s="1"/>
  <c r="N45" i="3" s="1"/>
  <c r="B32" i="3"/>
  <c r="E32" i="3" s="1"/>
  <c r="J32" i="3" s="1"/>
  <c r="B20" i="3"/>
  <c r="E20" i="3" s="1"/>
  <c r="G20" i="3" s="1"/>
  <c r="B7" i="3"/>
  <c r="B7" i="9"/>
  <c r="B7" i="2"/>
  <c r="B8" i="2" s="1"/>
  <c r="J8" i="2" s="1"/>
  <c r="B16" i="9"/>
  <c r="B16" i="2"/>
  <c r="E16" i="2" s="1"/>
  <c r="I16" i="2" s="1"/>
  <c r="H46" i="3" l="1"/>
  <c r="O46" i="3" s="1"/>
  <c r="I20" i="3"/>
  <c r="B21" i="3" s="1"/>
  <c r="E21" i="3" s="1"/>
  <c r="J21" i="3" s="1"/>
  <c r="E16" i="9"/>
  <c r="K16" i="9" s="1"/>
  <c r="G16" i="9" s="1"/>
  <c r="I16" i="9" s="1"/>
  <c r="G16" i="2"/>
  <c r="B15" i="9"/>
  <c r="B15" i="2"/>
  <c r="H8" i="1" l="1"/>
  <c r="N8" i="1" s="1"/>
  <c r="E15" i="9"/>
  <c r="K15" i="9" s="1"/>
  <c r="G15" i="9" s="1"/>
  <c r="I15" i="9" s="1"/>
  <c r="E15" i="2"/>
  <c r="I15" i="2" s="1"/>
  <c r="G15" i="2" s="1"/>
  <c r="B14" i="9" l="1"/>
  <c r="E14" i="9" s="1"/>
  <c r="K14" i="9" s="1"/>
  <c r="G14" i="9" s="1"/>
  <c r="I14" i="9" s="1"/>
  <c r="B14" i="2"/>
  <c r="E14" i="2" s="1"/>
  <c r="I14" i="2" s="1"/>
  <c r="G14" i="2" s="1"/>
  <c r="B13" i="9" l="1"/>
  <c r="E13" i="9" s="1"/>
  <c r="K13" i="9" s="1"/>
  <c r="B13" i="2"/>
  <c r="E13" i="2" s="1"/>
  <c r="I13" i="2" s="1"/>
  <c r="G13" i="2" s="1"/>
  <c r="G13" i="9" l="1"/>
  <c r="I13" i="9" s="1"/>
  <c r="B12" i="9"/>
  <c r="B12" i="2"/>
  <c r="E12" i="9" l="1"/>
  <c r="K12" i="9" s="1"/>
  <c r="G12" i="9" s="1"/>
  <c r="I12" i="9" s="1"/>
  <c r="E12" i="2"/>
  <c r="I12" i="2" s="1"/>
  <c r="G12" i="2" s="1"/>
  <c r="E11" i="9" l="1"/>
  <c r="K11" i="9" s="1"/>
  <c r="K23" i="9" s="1"/>
  <c r="E6" i="9"/>
  <c r="E11" i="2"/>
  <c r="I11" i="2" s="1"/>
  <c r="E23" i="2"/>
  <c r="E6" i="2" s="1"/>
  <c r="G11" i="9" l="1"/>
  <c r="G11" i="2"/>
  <c r="G23" i="2" s="1"/>
  <c r="G6" i="2" s="1"/>
  <c r="I23" i="2"/>
  <c r="I6" i="2" s="1"/>
  <c r="I11" i="9" l="1"/>
  <c r="I23" i="9" s="1"/>
  <c r="G23" i="9"/>
  <c r="D44" i="3" l="1"/>
  <c r="D6" i="1"/>
  <c r="K6" i="9" l="1"/>
  <c r="G6" i="9" s="1"/>
  <c r="I6" i="9" s="1"/>
  <c r="E6" i="3" l="1"/>
  <c r="I6" i="3" s="1"/>
  <c r="E19" i="3"/>
  <c r="G19" i="3" s="1"/>
  <c r="I19" i="3" s="1"/>
  <c r="H44" i="3"/>
  <c r="N44" i="3" l="1"/>
  <c r="L44" i="3" s="1"/>
  <c r="E31" i="3"/>
  <c r="I31" i="3" s="1"/>
  <c r="G31" i="3" s="1"/>
  <c r="M6" i="1" l="1"/>
  <c r="K6" i="1" s="1"/>
  <c r="B33" i="3" l="1"/>
  <c r="E33" i="3" s="1"/>
  <c r="J33" i="3" s="1"/>
  <c r="E34" i="9" l="1"/>
  <c r="K34" i="9" s="1"/>
  <c r="G34" i="9" s="1"/>
  <c r="I34" i="9" s="1"/>
  <c r="K7" i="1" l="1"/>
  <c r="B8" i="9" l="1"/>
  <c r="E8" i="9" s="1"/>
  <c r="L8" i="9" s="1"/>
  <c r="G7" i="9"/>
  <c r="I7" i="9" s="1"/>
  <c r="B8" i="3" l="1"/>
  <c r="E8" i="3" s="1"/>
  <c r="K8" i="3" s="1"/>
  <c r="I7" i="3"/>
</calcChain>
</file>

<file path=xl/sharedStrings.xml><?xml version="1.0" encoding="utf-8"?>
<sst xmlns="http://schemas.openxmlformats.org/spreadsheetml/2006/main" count="550" uniqueCount="181">
  <si>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</si>
  <si>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</si>
  <si>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</si>
  <si>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</si>
  <si>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</si>
  <si>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</si>
  <si>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</si>
  <si>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</si>
  <si>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</si>
  <si>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</si>
  <si>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</si>
  <si>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</si>
  <si>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</si>
  <si>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</si>
  <si>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</si>
  <si>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</si>
  <si>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</si>
  <si>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</si>
  <si>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</si>
  <si>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</si>
  <si>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</si>
  <si>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</si>
  <si>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</si>
  <si>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</si>
  <si>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</si>
  <si>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</si>
  <si>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</si>
  <si>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</si>
  <si>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</si>
  <si>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</si>
  <si>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</si>
  <si>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</si>
  <si>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</si>
  <si>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</si>
  <si>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</si>
  <si>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</si>
  <si>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</si>
  <si>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</si>
  <si>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</si>
  <si>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</si>
  <si>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</si>
  <si>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</si>
  <si>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</si>
  <si>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</si>
  <si>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</si>
  <si>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</si>
  <si>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</si>
  <si>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</si>
  <si>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</si>
  <si>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</si>
  <si>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</si>
  <si>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</si>
  <si>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>2022/23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</si>
  <si>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</si>
  <si>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</si>
  <si>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</si>
  <si>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</si>
  <si>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</si>
  <si>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</si>
  <si>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</si>
  <si>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</si>
  <si>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</si>
  <si>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</si>
  <si>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</si>
  <si>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</si>
  <si>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</si>
  <si>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</si>
  <si>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</si>
  <si>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</si>
  <si>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</si>
  <si>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</si>
  <si>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</si>
  <si>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</si>
  <si>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</si>
  <si>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r>
      <t>2021/22</t>
    </r>
    <r>
      <rPr>
        <vertAlign val="superscript"/>
        <sz val="11"/>
        <rFont val="Arial"/>
        <family val="2"/>
      </rPr>
      <t>1</t>
    </r>
  </si>
  <si>
    <r>
      <t>2022/23</t>
    </r>
    <r>
      <rPr>
        <vertAlign val="superscript"/>
        <sz val="11"/>
        <rFont val="Arial"/>
        <family val="2"/>
      </rPr>
      <t>2</t>
    </r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</si>
  <si>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</si>
  <si>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</si>
  <si>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</si>
  <si>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</si>
  <si>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</si>
  <si>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</si>
  <si>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</si>
  <si>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</si>
  <si>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</si>
  <si>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</si>
  <si>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</si>
  <si>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</si>
  <si>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</si>
  <si>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</si>
  <si>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</si>
  <si>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</si>
  <si>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</si>
  <si>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Pounds/acre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</si>
  <si>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</si>
  <si>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</si>
  <si>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</si>
  <si>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</si>
  <si>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</si>
  <si>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</si>
  <si>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</si>
  <si>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</si>
  <si>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</si>
  <si>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</si>
  <si>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</si>
  <si>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</si>
  <si>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</si>
  <si>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</si>
  <si>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</si>
  <si>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</si>
  <si>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</si>
  <si>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</si>
  <si>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</si>
  <si>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</si>
  <si>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</si>
  <si>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</si>
  <si>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</si>
  <si>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</si>
  <si>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</si>
  <si>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2022/23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</si>
  <si>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</si>
  <si>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</si>
  <si>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</si>
  <si>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</si>
  <si>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</si>
  <si>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</si>
  <si>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</si>
  <si>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</si>
  <si>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</si>
  <si>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</si>
  <si>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</si>
  <si>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</si>
  <si>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</si>
  <si>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</si>
  <si>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</si>
  <si>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</si>
  <si>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</si>
  <si>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</si>
  <si>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2022/23</t>
    </r>
    <r>
      <rPr>
        <vertAlign val="superscript"/>
        <sz val="11"/>
        <rFont val="Arial"/>
        <family val="2"/>
      </rPr>
      <t>7</t>
    </r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</si>
  <si>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</si>
  <si>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</si>
  <si>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</si>
  <si>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</si>
  <si>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</si>
  <si>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</si>
  <si>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</si>
  <si>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</si>
  <si>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</si>
  <si>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</si>
  <si>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</si>
  <si>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</si>
  <si>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</si>
  <si>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</si>
  <si>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</si>
  <si>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</si>
  <si>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 (September-August)</t>
  </si>
  <si>
    <t>Marketing year</t>
  </si>
  <si>
    <t>2023/24 Oct*</t>
  </si>
  <si>
    <t>2023/24</t>
  </si>
  <si>
    <t>Percent of sown acreage harvested</t>
  </si>
  <si>
    <t>Week ending</t>
  </si>
  <si>
    <t>2018–2022 average</t>
  </si>
  <si>
    <t>2023/24 Nov*</t>
  </si>
  <si>
    <t>Oct.</t>
  </si>
  <si>
    <t>Nov.</t>
  </si>
  <si>
    <t>Dec.</t>
  </si>
  <si>
    <t>Jan.</t>
  </si>
  <si>
    <t>Feb.</t>
  </si>
  <si>
    <t>Mar.</t>
  </si>
  <si>
    <t>Apr.</t>
  </si>
  <si>
    <t>Jun.</t>
  </si>
  <si>
    <t>Aug.</t>
  </si>
  <si>
    <t>Sep.</t>
  </si>
  <si>
    <t>Month</t>
  </si>
  <si>
    <t>Food use</t>
  </si>
  <si>
    <t>Biofuel use</t>
  </si>
  <si>
    <t>2023/24*</t>
  </si>
  <si>
    <t>Soybean meal exports</t>
  </si>
  <si>
    <t>Soybean meal domestic consumption</t>
  </si>
  <si>
    <t>Soybean meal production</t>
  </si>
  <si>
    <t xml:space="preserve">  June–August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</si>
</sst>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_);\(#,##0.0\)"/>
    <numFmt numFmtId="175" formatCode="#,##0.000"/>
    <numFmt numFmtId="176" formatCode="#,##0.00000"/>
    <numFmt numFmtId="177" formatCode="0.000000"/>
    <numFmt numFmtId="178" formatCode="0.0000000"/>
    <numFmt numFmtId="179" formatCode="mm/dd/yy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">
    <xf numFmtId="0" fontId="0" fillId="0" borderId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9" fontId="36" fillId="0" borderId="0" applyFont="0" applyFill="0" applyBorder="0" applyAlignment="0" applyProtection="0"/>
    <xf numFmtId="0" fontId="36" fillId="0" borderId="0"/>
    <xf numFmtId="43" fontId="36" fillId="0" borderId="0" applyFont="0" applyFill="0" applyBorder="0" applyAlignment="0" applyProtection="0"/>
    <xf numFmtId="0" fontId="36" fillId="0" borderId="0"/>
    <xf numFmtId="0" fontId="50" fillId="0" borderId="0"/>
    <xf numFmtId="0" fontId="35" fillId="0" borderId="0"/>
    <xf numFmtId="0" fontId="34" fillId="0" borderId="0"/>
    <xf numFmtId="43" fontId="36" fillId="0" borderId="0" applyFont="0" applyFill="0" applyBorder="0" applyAlignment="0" applyProtection="0"/>
    <xf numFmtId="0" fontId="36" fillId="0" borderId="0"/>
    <xf numFmtId="0" fontId="36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43" fontId="32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0" fontId="30" fillId="0" borderId="0"/>
    <xf numFmtId="0" fontId="29" fillId="0" borderId="0"/>
    <xf numFmtId="43" fontId="29" fillId="0" borderId="0" applyFont="0" applyFill="0" applyBorder="0" applyAlignment="0" applyProtection="0"/>
    <xf numFmtId="0" fontId="28" fillId="0" borderId="0"/>
    <xf numFmtId="44" fontId="36" fillId="0" borderId="0" applyFont="0" applyFill="0" applyBorder="0" applyAlignment="0" applyProtection="0"/>
    <xf numFmtId="0" fontId="27" fillId="0" borderId="0"/>
    <xf numFmtId="0" fontId="26" fillId="0" borderId="0"/>
    <xf numFmtId="0" fontId="25" fillId="0" borderId="0"/>
    <xf numFmtId="0" fontId="24" fillId="0" borderId="0"/>
    <xf numFmtId="43" fontId="23" fillId="0" borderId="0" applyFont="0" applyFill="0" applyBorder="0" applyAlignment="0" applyProtection="0"/>
    <xf numFmtId="0" fontId="22" fillId="0" borderId="0"/>
    <xf numFmtId="0" fontId="21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</cellStyleXfs>
  <cellXfs count="203">
    <xf numFmtId="0" fontId="0" fillId="0" borderId="0" xfId="0"/>
    <xf numFmtId="0" fontId="37" fillId="0" borderId="0" xfId="8"/>
    <xf numFmtId="0" fontId="38" fillId="0" borderId="0" xfId="8" applyFont="1"/>
    <xf numFmtId="0" fontId="43" fillId="0" borderId="0" xfId="8" applyFont="1"/>
    <xf numFmtId="0" fontId="44" fillId="0" borderId="0" xfId="8" applyFont="1"/>
    <xf numFmtId="169" fontId="45" fillId="0" borderId="0" xfId="1" applyNumberFormat="1" applyFont="1" applyFill="1" applyBorder="1" applyAlignment="1">
      <alignment horizontal="center"/>
    </xf>
    <xf numFmtId="169" fontId="45" fillId="0" borderId="0" xfId="1" applyNumberFormat="1" applyFont="1" applyFill="1" applyBorder="1" applyAlignment="1">
      <alignment horizontal="right" indent="1"/>
    </xf>
    <xf numFmtId="0" fontId="51" fillId="0" borderId="0" xfId="7" applyFont="1" applyAlignment="1">
      <alignment horizontal="left"/>
    </xf>
    <xf numFmtId="0" fontId="52" fillId="0" borderId="0" xfId="5" applyFont="1" applyAlignment="1" applyProtection="1"/>
    <xf numFmtId="14" fontId="51" fillId="0" borderId="0" xfId="7" applyNumberFormat="1" applyFont="1" applyAlignment="1">
      <alignment horizontal="left"/>
    </xf>
    <xf numFmtId="0" fontId="52" fillId="0" borderId="0" xfId="4" applyFont="1" applyAlignment="1" applyProtection="1"/>
    <xf numFmtId="0" fontId="45" fillId="0" borderId="0" xfId="7" quotePrefix="1" applyFont="1" applyAlignment="1">
      <alignment horizontal="left"/>
    </xf>
    <xf numFmtId="0" fontId="45" fillId="0" borderId="0" xfId="8" applyFont="1" applyAlignment="1">
      <alignment wrapText="1"/>
    </xf>
    <xf numFmtId="169" fontId="45" fillId="0" borderId="0" xfId="1" applyNumberFormat="1" applyFont="1" applyFill="1" applyBorder="1" applyAlignment="1">
      <alignment horizontal="right"/>
    </xf>
    <xf numFmtId="0" fontId="45" fillId="0" borderId="1" xfId="0" applyFont="1" applyBorder="1"/>
    <xf numFmtId="0" fontId="45" fillId="0" borderId="0" xfId="0" applyFont="1"/>
    <xf numFmtId="0" fontId="45" fillId="0" borderId="2" xfId="0" applyFont="1" applyBorder="1" applyAlignment="1">
      <alignment horizontal="right"/>
    </xf>
    <xf numFmtId="0" fontId="45" fillId="0" borderId="0" xfId="0" applyFont="1" applyAlignment="1">
      <alignment horizontal="center"/>
    </xf>
    <xf numFmtId="0" fontId="0" fillId="0" borderId="2" xfId="0" applyBorder="1"/>
    <xf numFmtId="0" fontId="45" fillId="0" borderId="2" xfId="0" applyFont="1" applyBorder="1" applyAlignment="1">
      <alignment horizontal="left"/>
    </xf>
    <xf numFmtId="0" fontId="45" fillId="0" borderId="0" xfId="0" applyFont="1" applyAlignment="1">
      <alignment horizontal="right"/>
    </xf>
    <xf numFmtId="16" fontId="45" fillId="0" borderId="1" xfId="0" quotePrefix="1" applyNumberFormat="1" applyFont="1" applyBorder="1"/>
    <xf numFmtId="16" fontId="45" fillId="0" borderId="1" xfId="0" applyNumberFormat="1" applyFont="1" applyBorder="1"/>
    <xf numFmtId="0" fontId="45" fillId="0" borderId="1" xfId="0" applyFont="1" applyBorder="1" applyAlignment="1">
      <alignment horizontal="center"/>
    </xf>
    <xf numFmtId="0" fontId="45" fillId="0" borderId="1" xfId="0" applyFont="1" applyBorder="1" applyAlignment="1">
      <alignment horizontal="right"/>
    </xf>
    <xf numFmtId="0" fontId="45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46" fillId="0" borderId="3" xfId="0" quotePrefix="1" applyFont="1" applyBorder="1" applyAlignment="1">
      <alignment horizontal="center"/>
    </xf>
    <xf numFmtId="0" fontId="46" fillId="0" borderId="0" xfId="0" quotePrefix="1" applyFont="1" applyAlignment="1">
      <alignment horizontal="right"/>
    </xf>
    <xf numFmtId="167" fontId="45" fillId="0" borderId="0" xfId="0" applyNumberFormat="1" applyFont="1" applyAlignment="1">
      <alignment horizontal="center"/>
    </xf>
    <xf numFmtId="165" fontId="45" fillId="0" borderId="0" xfId="1" applyNumberFormat="1" applyFont="1" applyFill="1" applyAlignment="1">
      <alignment horizontal="left"/>
    </xf>
    <xf numFmtId="165" fontId="45" fillId="0" borderId="0" xfId="1" applyNumberFormat="1" applyFont="1" applyFill="1" applyAlignment="1">
      <alignment horizontal="center"/>
    </xf>
    <xf numFmtId="3" fontId="45" fillId="0" borderId="0" xfId="1" applyNumberFormat="1" applyFont="1" applyFill="1" applyBorder="1" applyAlignment="1">
      <alignment horizontal="right" indent="1"/>
    </xf>
    <xf numFmtId="164" fontId="45" fillId="0" borderId="0" xfId="1" applyNumberFormat="1" applyFont="1" applyFill="1" applyBorder="1"/>
    <xf numFmtId="164" fontId="45" fillId="0" borderId="0" xfId="1" applyNumberFormat="1" applyFont="1" applyFill="1" applyBorder="1" applyAlignment="1">
      <alignment horizontal="right"/>
    </xf>
    <xf numFmtId="0" fontId="51" fillId="0" borderId="0" xfId="0" applyFont="1"/>
    <xf numFmtId="169" fontId="45" fillId="0" borderId="0" xfId="1" quotePrefix="1" applyNumberFormat="1" applyFont="1" applyFill="1" applyBorder="1" applyAlignment="1">
      <alignment horizontal="right"/>
    </xf>
    <xf numFmtId="164" fontId="45" fillId="0" borderId="0" xfId="1" applyNumberFormat="1" applyFont="1" applyFill="1" applyBorder="1" applyAlignment="1">
      <alignment horizontal="center"/>
    </xf>
    <xf numFmtId="164" fontId="45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45" fillId="0" borderId="0" xfId="1" applyNumberFormat="1" applyFont="1" applyFill="1"/>
    <xf numFmtId="14" fontId="45" fillId="0" borderId="0" xfId="0" applyNumberFormat="1" applyFont="1" applyAlignment="1">
      <alignment horizontal="left"/>
    </xf>
    <xf numFmtId="3" fontId="45" fillId="0" borderId="0" xfId="1" applyNumberFormat="1" applyFont="1" applyFill="1" applyAlignment="1">
      <alignment horizontal="right" indent="2"/>
    </xf>
    <xf numFmtId="3" fontId="45" fillId="0" borderId="0" xfId="1" applyNumberFormat="1" applyFont="1" applyFill="1" applyAlignment="1">
      <alignment horizontal="right" indent="1"/>
    </xf>
    <xf numFmtId="3" fontId="45" fillId="0" borderId="0" xfId="1" applyNumberFormat="1" applyFont="1" applyFill="1" applyAlignment="1">
      <alignment horizontal="center"/>
    </xf>
    <xf numFmtId="169" fontId="45" fillId="0" borderId="0" xfId="1" applyNumberFormat="1" applyFont="1" applyFill="1" applyBorder="1" applyAlignment="1">
      <alignment horizontal="right" indent="2"/>
    </xf>
    <xf numFmtId="0" fontId="47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45" fillId="0" borderId="1" xfId="1" applyNumberFormat="1" applyFont="1" applyFill="1" applyBorder="1" applyAlignment="1">
      <alignment horizontal="right"/>
    </xf>
    <xf numFmtId="16" fontId="45" fillId="0" borderId="0" xfId="0" applyNumberFormat="1" applyFont="1"/>
    <xf numFmtId="0" fontId="46" fillId="0" borderId="0" xfId="0" applyFont="1" applyAlignment="1">
      <alignment horizontal="center"/>
    </xf>
    <xf numFmtId="2" fontId="45" fillId="0" borderId="0" xfId="0" applyNumberFormat="1" applyFont="1" applyAlignment="1">
      <alignment horizontal="right" indent="2"/>
    </xf>
    <xf numFmtId="170" fontId="45" fillId="0" borderId="0" xfId="0" applyNumberFormat="1" applyFont="1"/>
    <xf numFmtId="43" fontId="45" fillId="0" borderId="0" xfId="1" quotePrefix="1" applyFont="1" applyFill="1" applyBorder="1" applyAlignment="1">
      <alignment horizontal="center"/>
    </xf>
    <xf numFmtId="166" fontId="45" fillId="0" borderId="0" xfId="1" quotePrefix="1" applyNumberFormat="1" applyFont="1" applyFill="1" applyBorder="1" applyAlignment="1">
      <alignment horizontal="center"/>
    </xf>
    <xf numFmtId="43" fontId="45" fillId="0" borderId="0" xfId="1" applyFont="1" applyFill="1" applyBorder="1" applyAlignment="1">
      <alignment horizontal="center"/>
    </xf>
    <xf numFmtId="0" fontId="51" fillId="0" borderId="0" xfId="0" quotePrefix="1" applyFont="1"/>
    <xf numFmtId="0" fontId="45" fillId="0" borderId="0" xfId="0" applyFont="1" applyAlignment="1">
      <alignment horizontal="left"/>
    </xf>
    <xf numFmtId="0" fontId="45" fillId="0" borderId="0" xfId="0" applyFont="1" applyAlignment="1">
      <alignment horizontal="left" indent="1"/>
    </xf>
    <xf numFmtId="0" fontId="45" fillId="0" borderId="3" xfId="0" applyFont="1" applyBorder="1" applyAlignment="1">
      <alignment horizontal="center"/>
    </xf>
    <xf numFmtId="0" fontId="45" fillId="0" borderId="1" xfId="0" applyFont="1" applyBorder="1" applyAlignment="1">
      <alignment horizontal="left"/>
    </xf>
    <xf numFmtId="0" fontId="46" fillId="0" borderId="3" xfId="0" quotePrefix="1" applyFont="1" applyBorder="1"/>
    <xf numFmtId="0" fontId="46" fillId="0" borderId="3" xfId="0" applyFont="1" applyBorder="1"/>
    <xf numFmtId="2" fontId="45" fillId="0" borderId="0" xfId="0" applyNumberFormat="1" applyFont="1" applyAlignment="1">
      <alignment horizontal="center"/>
    </xf>
    <xf numFmtId="43" fontId="45" fillId="0" borderId="0" xfId="0" applyNumberFormat="1" applyFont="1"/>
    <xf numFmtId="0" fontId="40" fillId="0" borderId="0" xfId="0" applyFont="1"/>
    <xf numFmtId="2" fontId="0" fillId="0" borderId="0" xfId="0" applyNumberFormat="1"/>
    <xf numFmtId="165" fontId="45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49" fillId="0" borderId="0" xfId="0" applyFont="1" applyAlignment="1">
      <alignment vertical="center"/>
    </xf>
    <xf numFmtId="168" fontId="45" fillId="0" borderId="0" xfId="0" applyNumberFormat="1" applyFont="1"/>
    <xf numFmtId="2" fontId="45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45" fillId="0" borderId="3" xfId="0" applyFont="1" applyBorder="1"/>
    <xf numFmtId="165" fontId="45" fillId="0" borderId="0" xfId="1" applyNumberFormat="1" applyFont="1" applyFill="1"/>
    <xf numFmtId="37" fontId="45" fillId="0" borderId="0" xfId="1" applyNumberFormat="1" applyFont="1" applyFill="1" applyBorder="1" applyAlignment="1">
      <alignment horizontal="center"/>
    </xf>
    <xf numFmtId="37" fontId="45" fillId="0" borderId="0" xfId="1" applyNumberFormat="1" applyFont="1" applyFill="1" applyBorder="1" applyAlignment="1">
      <alignment horizontal="right" indent="2"/>
    </xf>
    <xf numFmtId="165" fontId="45" fillId="0" borderId="0" xfId="1" applyNumberFormat="1" applyFont="1" applyFill="1" applyBorder="1"/>
    <xf numFmtId="37" fontId="45" fillId="0" borderId="0" xfId="1" applyNumberFormat="1" applyFont="1" applyFill="1" applyBorder="1" applyAlignment="1">
      <alignment horizontal="right" indent="1"/>
    </xf>
    <xf numFmtId="9" fontId="45" fillId="0" borderId="0" xfId="12" applyFont="1" applyFill="1"/>
    <xf numFmtId="1" fontId="45" fillId="0" borderId="0" xfId="0" applyNumberFormat="1" applyFont="1" applyAlignment="1">
      <alignment horizontal="center"/>
    </xf>
    <xf numFmtId="0" fontId="46" fillId="0" borderId="4" xfId="0" applyFont="1" applyBorder="1" applyAlignment="1">
      <alignment horizontal="center"/>
    </xf>
    <xf numFmtId="14" fontId="45" fillId="0" borderId="0" xfId="0" applyNumberFormat="1" applyFont="1" applyAlignment="1">
      <alignment horizontal="right" indent="1"/>
    </xf>
    <xf numFmtId="0" fontId="45" fillId="0" borderId="0" xfId="0" applyFont="1" applyAlignment="1">
      <alignment vertical="center"/>
    </xf>
    <xf numFmtId="0" fontId="45" fillId="0" borderId="0" xfId="0" applyFont="1" applyAlignment="1">
      <alignment vertical="center" wrapText="1"/>
    </xf>
    <xf numFmtId="169" fontId="45" fillId="0" borderId="0" xfId="1" applyNumberFormat="1" applyFont="1" applyFill="1" applyAlignment="1">
      <alignment horizontal="center"/>
    </xf>
    <xf numFmtId="0" fontId="47" fillId="0" borderId="3" xfId="0" applyFont="1" applyBorder="1"/>
    <xf numFmtId="164" fontId="45" fillId="0" borderId="3" xfId="0" applyNumberFormat="1" applyFont="1" applyBorder="1"/>
    <xf numFmtId="171" fontId="0" fillId="0" borderId="0" xfId="1" applyNumberFormat="1" applyFont="1" applyFill="1" applyBorder="1"/>
    <xf numFmtId="0" fontId="36" fillId="0" borderId="0" xfId="8" applyFont="1"/>
    <xf numFmtId="0" fontId="36" fillId="0" borderId="0" xfId="0" applyFont="1"/>
    <xf numFmtId="4" fontId="54" fillId="0" borderId="0" xfId="0" applyNumberFormat="1" applyFont="1"/>
    <xf numFmtId="0" fontId="36" fillId="0" borderId="0" xfId="0" applyFont="1" applyAlignment="1">
      <alignment horizontal="right"/>
    </xf>
    <xf numFmtId="2" fontId="36" fillId="0" borderId="0" xfId="0" applyNumberFormat="1" applyFont="1" applyAlignment="1">
      <alignment horizontal="right"/>
    </xf>
    <xf numFmtId="172" fontId="40" fillId="0" borderId="0" xfId="12" applyNumberFormat="1" applyFont="1" applyFill="1"/>
    <xf numFmtId="4" fontId="0" fillId="0" borderId="0" xfId="0" applyNumberFormat="1"/>
    <xf numFmtId="169" fontId="45" fillId="0" borderId="0" xfId="1" applyNumberFormat="1" applyFont="1" applyBorder="1" applyAlignment="1">
      <alignment horizontal="right" indent="1"/>
    </xf>
    <xf numFmtId="0" fontId="36" fillId="0" borderId="0" xfId="20"/>
    <xf numFmtId="37" fontId="0" fillId="0" borderId="0" xfId="0" applyNumberFormat="1"/>
    <xf numFmtId="173" fontId="54" fillId="0" borderId="0" xfId="0" applyNumberFormat="1" applyFont="1"/>
    <xf numFmtId="174" fontId="45" fillId="0" borderId="0" xfId="1" applyNumberFormat="1" applyFont="1" applyFill="1" applyBorder="1" applyAlignment="1">
      <alignment horizontal="right" indent="2"/>
    </xf>
    <xf numFmtId="0" fontId="55" fillId="0" borderId="0" xfId="44" applyFont="1" applyAlignment="1">
      <alignment horizontal="center"/>
    </xf>
    <xf numFmtId="164" fontId="45" fillId="2" borderId="0" xfId="1" applyNumberFormat="1" applyFont="1" applyFill="1" applyBorder="1" applyAlignment="1">
      <alignment horizontal="center"/>
    </xf>
    <xf numFmtId="0" fontId="56" fillId="0" borderId="1" xfId="46" applyFont="1" applyBorder="1" applyAlignment="1">
      <alignment horizontal="center" wrapText="1"/>
    </xf>
    <xf numFmtId="0" fontId="55" fillId="0" borderId="0" xfId="46" applyFont="1" applyAlignment="1">
      <alignment horizontal="center"/>
    </xf>
    <xf numFmtId="2" fontId="53" fillId="0" borderId="0" xfId="0" applyNumberFormat="1" applyFont="1" applyAlignment="1">
      <alignment horizontal="center"/>
    </xf>
    <xf numFmtId="170" fontId="0" fillId="0" borderId="0" xfId="0" applyNumberFormat="1"/>
    <xf numFmtId="175" fontId="54" fillId="0" borderId="0" xfId="0" applyNumberFormat="1" applyFont="1"/>
    <xf numFmtId="37" fontId="45" fillId="0" borderId="0" xfId="0" applyNumberFormat="1" applyFont="1" applyAlignment="1">
      <alignment vertical="center" wrapText="1"/>
    </xf>
    <xf numFmtId="37" fontId="45" fillId="0" borderId="0" xfId="0" applyNumberFormat="1" applyFont="1"/>
    <xf numFmtId="172" fontId="0" fillId="0" borderId="0" xfId="12" applyNumberFormat="1" applyFont="1"/>
    <xf numFmtId="169" fontId="45" fillId="0" borderId="1" xfId="1" applyNumberFormat="1" applyFont="1" applyFill="1" applyBorder="1" applyAlignment="1">
      <alignment horizontal="right" indent="2"/>
    </xf>
    <xf numFmtId="169" fontId="45" fillId="0" borderId="1" xfId="1" applyNumberFormat="1" applyFont="1" applyFill="1" applyBorder="1" applyAlignment="1">
      <alignment horizontal="right" indent="1"/>
    </xf>
    <xf numFmtId="2" fontId="53" fillId="0" borderId="0" xfId="0" applyNumberFormat="1" applyFont="1" applyAlignment="1">
      <alignment horizontal="right" indent="2"/>
    </xf>
    <xf numFmtId="169" fontId="45" fillId="0" borderId="0" xfId="0" applyNumberFormat="1" applyFont="1" applyAlignment="1">
      <alignment horizontal="right"/>
    </xf>
    <xf numFmtId="169" fontId="53" fillId="0" borderId="0" xfId="0" applyNumberFormat="1" applyFont="1" applyAlignment="1">
      <alignment horizontal="right"/>
    </xf>
    <xf numFmtId="167" fontId="53" fillId="0" borderId="0" xfId="0" applyNumberFormat="1" applyFont="1"/>
    <xf numFmtId="167" fontId="57" fillId="0" borderId="0" xfId="1" applyNumberFormat="1" applyFont="1" applyAlignment="1">
      <alignment horizontal="right"/>
    </xf>
    <xf numFmtId="9" fontId="0" fillId="0" borderId="0" xfId="12" applyFont="1"/>
    <xf numFmtId="3" fontId="53" fillId="0" borderId="0" xfId="1" applyNumberFormat="1" applyFont="1" applyFill="1" applyBorder="1" applyAlignment="1">
      <alignment horizontal="right"/>
    </xf>
    <xf numFmtId="3" fontId="36" fillId="0" borderId="0" xfId="0" applyNumberFormat="1" applyFont="1"/>
    <xf numFmtId="3" fontId="45" fillId="0" borderId="0" xfId="1" quotePrefix="1" applyNumberFormat="1" applyFont="1" applyFill="1" applyBorder="1" applyAlignment="1">
      <alignment horizontal="right"/>
    </xf>
    <xf numFmtId="3" fontId="0" fillId="0" borderId="0" xfId="0" applyNumberFormat="1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165" fontId="0" fillId="0" borderId="0" xfId="0" applyNumberFormat="1"/>
    <xf numFmtId="169" fontId="45" fillId="0" borderId="0" xfId="1" applyNumberFormat="1" applyFont="1" applyAlignment="1">
      <alignment horizontal="right" indent="1"/>
    </xf>
    <xf numFmtId="167" fontId="45" fillId="0" borderId="0" xfId="0" applyNumberFormat="1" applyFont="1"/>
    <xf numFmtId="169" fontId="53" fillId="0" borderId="0" xfId="1" applyNumberFormat="1" applyFont="1" applyFill="1" applyBorder="1" applyAlignment="1">
      <alignment horizontal="right" indent="1"/>
    </xf>
    <xf numFmtId="0" fontId="58" fillId="0" borderId="0" xfId="0" applyFont="1"/>
    <xf numFmtId="165" fontId="36" fillId="0" borderId="0" xfId="20" applyNumberFormat="1"/>
    <xf numFmtId="0" fontId="45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2" fontId="45" fillId="0" borderId="1" xfId="0" applyNumberFormat="1" applyFont="1" applyBorder="1" applyAlignment="1">
      <alignment horizontal="right" indent="2"/>
    </xf>
    <xf numFmtId="2" fontId="53" fillId="0" borderId="1" xfId="0" applyNumberFormat="1" applyFont="1" applyBorder="1" applyAlignment="1">
      <alignment horizontal="center"/>
    </xf>
    <xf numFmtId="2" fontId="45" fillId="0" borderId="1" xfId="0" applyNumberFormat="1" applyFont="1" applyBorder="1" applyAlignment="1">
      <alignment horizontal="center"/>
    </xf>
    <xf numFmtId="43" fontId="45" fillId="0" borderId="1" xfId="1" applyFont="1" applyFill="1" applyBorder="1" applyAlignment="1">
      <alignment horizontal="center"/>
    </xf>
    <xf numFmtId="169" fontId="45" fillId="0" borderId="0" xfId="1" applyNumberFormat="1" applyFont="1" applyFill="1" applyAlignment="1">
      <alignment horizontal="right" indent="1"/>
    </xf>
    <xf numFmtId="0" fontId="43" fillId="0" borderId="0" xfId="20" applyFont="1"/>
    <xf numFmtId="0" fontId="43" fillId="0" borderId="0" xfId="20" applyFont="1" applyAlignment="1">
      <alignment horizontal="centerContinuous"/>
    </xf>
    <xf numFmtId="0" fontId="43" fillId="0" borderId="0" xfId="20" applyFont="1" applyAlignment="1">
      <alignment wrapText="1"/>
    </xf>
    <xf numFmtId="0" fontId="56" fillId="0" borderId="0" xfId="73" applyFont="1" applyAlignment="1">
      <alignment horizontal="center" wrapText="1"/>
    </xf>
    <xf numFmtId="179" fontId="36" fillId="0" borderId="0" xfId="20" applyNumberFormat="1"/>
    <xf numFmtId="3" fontId="57" fillId="0" borderId="0" xfId="1" applyNumberFormat="1" applyFont="1" applyFill="1" applyBorder="1"/>
    <xf numFmtId="3" fontId="57" fillId="0" borderId="0" xfId="1" applyNumberFormat="1" applyFont="1" applyFill="1"/>
    <xf numFmtId="0" fontId="55" fillId="0" borderId="0" xfId="73" applyFont="1" applyAlignment="1">
      <alignment horizontal="center"/>
    </xf>
    <xf numFmtId="3" fontId="36" fillId="0" borderId="0" xfId="20" applyNumberFormat="1"/>
    <xf numFmtId="169" fontId="45" fillId="0" borderId="1" xfId="1" applyNumberFormat="1" applyFont="1" applyFill="1" applyBorder="1" applyAlignment="1">
      <alignment horizontal="center"/>
    </xf>
    <xf numFmtId="169" fontId="53" fillId="0" borderId="1" xfId="1" applyNumberFormat="1" applyFont="1" applyFill="1" applyBorder="1" applyAlignment="1">
      <alignment horizontal="right" indent="1"/>
    </xf>
    <xf numFmtId="0" fontId="0" fillId="0" borderId="0" xfId="20" applyFont="1"/>
    <xf numFmtId="165" fontId="0" fillId="0" borderId="0" xfId="20" applyNumberFormat="1" applyFont="1"/>
    <xf numFmtId="3" fontId="45" fillId="0" borderId="0" xfId="1" applyNumberFormat="1" applyFont="1" applyAlignment="1">
      <alignment horizontal="right" indent="1"/>
    </xf>
    <xf numFmtId="43" fontId="55" fillId="0" borderId="0" xfId="1" applyFont="1"/>
    <xf numFmtId="43" fontId="57" fillId="0" borderId="0" xfId="1" applyFont="1"/>
    <xf numFmtId="43" fontId="0" fillId="0" borderId="0" xfId="1" applyFont="1"/>
    <xf numFmtId="0" fontId="51" fillId="0" borderId="1" xfId="0" applyFont="1" applyBorder="1" applyAlignment="1">
      <alignment wrapText="1"/>
    </xf>
    <xf numFmtId="0" fontId="51" fillId="0" borderId="1" xfId="0" applyFont="1" applyBorder="1"/>
    <xf numFmtId="4" fontId="45" fillId="0" borderId="0" xfId="0" applyNumberFormat="1" applyFont="1"/>
    <xf numFmtId="3" fontId="53" fillId="0" borderId="0" xfId="0" applyNumberFormat="1" applyFont="1"/>
    <xf numFmtId="41" fontId="53" fillId="0" borderId="0" xfId="0" applyNumberFormat="1" applyFont="1"/>
    <xf numFmtId="17" fontId="45" fillId="0" borderId="0" xfId="0" applyNumberFormat="1" applyFont="1" applyAlignment="1">
      <alignment horizontal="left"/>
    </xf>
    <xf numFmtId="165" fontId="45" fillId="0" borderId="0" xfId="1" applyNumberFormat="1" applyFont="1"/>
    <xf numFmtId="165" fontId="0" fillId="0" borderId="0" xfId="74" applyNumberFormat="1" applyFont="1"/>
    <xf numFmtId="14" fontId="2" fillId="0" borderId="0" xfId="75" applyNumberFormat="1"/>
    <xf numFmtId="0" fontId="2" fillId="0" borderId="0" xfId="75"/>
    <xf numFmtId="1" fontId="2" fillId="0" borderId="0" xfId="75" applyNumberFormat="1"/>
    <xf numFmtId="0" fontId="59" fillId="0" borderId="0" xfId="75" applyFont="1"/>
    <xf numFmtId="0" fontId="60" fillId="0" borderId="0" xfId="0" applyFont="1"/>
    <xf numFmtId="167" fontId="57" fillId="0" borderId="0" xfId="1" applyNumberFormat="1" applyFont="1" applyFill="1" applyAlignment="1">
      <alignment horizontal="right"/>
    </xf>
    <xf numFmtId="164" fontId="45" fillId="0" borderId="0" xfId="1" applyNumberFormat="1" applyFont="1"/>
    <xf numFmtId="164" fontId="45" fillId="0" borderId="0" xfId="0" applyNumberFormat="1" applyFont="1"/>
    <xf numFmtId="0" fontId="51" fillId="0" borderId="1" xfId="0" applyFont="1" applyBorder="1" applyAlignment="1">
      <alignment horizontal="center"/>
    </xf>
    <xf numFmtId="164" fontId="53" fillId="0" borderId="0" xfId="1" applyNumberFormat="1" applyFont="1"/>
    <xf numFmtId="164" fontId="53" fillId="0" borderId="0" xfId="1" applyNumberFormat="1" applyFont="1" applyFill="1"/>
    <xf numFmtId="164" fontId="53" fillId="0" borderId="0" xfId="0" applyNumberFormat="1" applyFont="1"/>
    <xf numFmtId="165" fontId="53" fillId="0" borderId="0" xfId="1" applyNumberFormat="1" applyFont="1" applyFill="1" applyAlignment="1">
      <alignment horizontal="center"/>
    </xf>
    <xf numFmtId="165" fontId="53" fillId="0" borderId="0" xfId="1" applyNumberFormat="1" applyFont="1" applyFill="1"/>
    <xf numFmtId="10" fontId="0" fillId="0" borderId="0" xfId="12" applyNumberFormat="1" applyFont="1" applyFill="1"/>
    <xf numFmtId="37" fontId="45" fillId="0" borderId="1" xfId="1" applyNumberFormat="1" applyFont="1" applyFill="1" applyBorder="1" applyAlignment="1">
      <alignment horizontal="center"/>
    </xf>
    <xf numFmtId="37" fontId="45" fillId="0" borderId="1" xfId="1" applyNumberFormat="1" applyFont="1" applyFill="1" applyBorder="1" applyAlignment="1">
      <alignment horizontal="right" indent="2"/>
    </xf>
    <xf numFmtId="165" fontId="45" fillId="0" borderId="1" xfId="1" applyNumberFormat="1" applyFont="1" applyFill="1" applyBorder="1"/>
    <xf numFmtId="37" fontId="45" fillId="0" borderId="1" xfId="1" applyNumberFormat="1" applyFont="1" applyFill="1" applyBorder="1" applyAlignment="1">
      <alignment horizontal="right" indent="1"/>
    </xf>
    <xf numFmtId="1" fontId="45" fillId="0" borderId="1" xfId="0" applyNumberFormat="1" applyFont="1" applyBorder="1" applyAlignment="1">
      <alignment horizontal="center"/>
    </xf>
    <xf numFmtId="2" fontId="36" fillId="0" borderId="0" xfId="0" applyNumberFormat="1" applyFont="1"/>
    <xf numFmtId="2" fontId="53" fillId="0" borderId="1" xfId="0" applyNumberFormat="1" applyFont="1" applyBorder="1" applyAlignment="1">
      <alignment horizontal="right" indent="2"/>
    </xf>
    <xf numFmtId="172" fontId="45" fillId="0" borderId="0" xfId="12" applyNumberFormat="1" applyFont="1" applyFill="1" applyBorder="1"/>
    <xf numFmtId="2" fontId="58" fillId="0" borderId="0" xfId="0" applyNumberFormat="1" applyFont="1"/>
    <xf numFmtId="37" fontId="45" fillId="0" borderId="0" xfId="1" applyNumberFormat="1" applyFont="1" applyAlignment="1">
      <alignment horizontal="center"/>
    </xf>
    <xf numFmtId="1" fontId="1" fillId="0" borderId="0" xfId="75" applyNumberFormat="1" applyFont="1"/>
    <xf numFmtId="164" fontId="0" fillId="0" borderId="0" xfId="1" applyNumberFormat="1" applyFont="1"/>
    <xf numFmtId="164" fontId="0" fillId="0" borderId="0" xfId="0" applyNumberFormat="1"/>
    <xf numFmtId="0" fontId="45" fillId="0" borderId="2" xfId="0" applyFont="1" applyBorder="1" applyAlignment="1">
      <alignment horizontal="center"/>
    </xf>
    <xf numFmtId="0" fontId="46" fillId="0" borderId="3" xfId="0" applyFont="1" applyBorder="1" applyAlignment="1">
      <alignment horizontal="center"/>
    </xf>
    <xf numFmtId="0" fontId="46" fillId="0" borderId="2" xfId="0" quotePrefix="1" applyFont="1" applyBorder="1" applyAlignment="1">
      <alignment horizontal="center"/>
    </xf>
    <xf numFmtId="0" fontId="46" fillId="0" borderId="5" xfId="0" quotePrefix="1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5" xfId="0" applyFont="1" applyBorder="1" applyAlignment="1">
      <alignment horizontal="center"/>
    </xf>
  </cellXfs>
  <cellStyles count="76">
    <cellStyle name="Comma" xfId="1" builtinId="3"/>
    <cellStyle name="Comma 19" xfId="38" xr:uid="{DDCE393F-1348-4189-A747-6A37252868C8}"/>
    <cellStyle name="Comma 2" xfId="2" xr:uid="{00000000-0005-0000-0000-000001000000}"/>
    <cellStyle name="Comma 2 2" xfId="14" xr:uid="{1C9077E0-5527-45A6-8EEF-D5F24820778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6" xfId="74" xr:uid="{5AE75EFE-983D-4415-ABF1-C4602BF3FD8A}"/>
    <cellStyle name="Currency 2" xfId="33" xr:uid="{8219487F-D241-4C0D-8320-8F18D40FD705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10" xfId="27" xr:uid="{89A3A5E2-F786-4249-BED3-9C369DE53169}"/>
    <cellStyle name="Normal 10 2" xfId="60" xr:uid="{E126FF74-8F35-46C0-B499-BB9FB7C0492D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3" xfId="9" xr:uid="{00000000-0005-0000-0000-000009000000}"/>
    <cellStyle name="Normal 3 2" xfId="21" xr:uid="{70607CDE-CC71-4B27-B690-3D2401DD0B38}"/>
    <cellStyle name="Normal 4" xfId="10" xr:uid="{00000000-0005-0000-0000-00000A000000}"/>
    <cellStyle name="Normal 4 2" xfId="15" xr:uid="{4805FFD6-0377-46EF-881C-FDB9DF487011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6" xfId="13" xr:uid="{EBE75F6A-C88B-45B8-A8CA-B04BAAF6B28C}"/>
    <cellStyle name="Normal 7" xfId="16" xr:uid="{3D34A042-2E55-4E8C-B59D-A542FFF81875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9" xfId="25" xr:uid="{AF562AB2-2E7D-4C04-814F-6AC30A92CE3A}"/>
    <cellStyle name="Normal 9 2" xfId="58" xr:uid="{9E080DFC-9773-4552-A43C-01793D50B659}"/>
    <cellStyle name="Percent" xfId="12" builtinId="5"/>
  </cellStyles>
  <dxfs count="0"/>
  <tableStyles count="0" defaultTableStyle="TableStyleMedium9" defaultPivotStyle="PivotStyleLight16"/>
  <colors>
    <mruColors>
      <color rgb="FFFA6400"/>
      <color rgb="FFFFFF00"/>
      <color rgb="FF00B050"/>
      <color rgb="FFC0502F"/>
      <color rgb="FFFFCF01"/>
      <color rgb="FF984807"/>
      <color rgb="FF95B3D7"/>
      <color rgb="FFC0504D"/>
      <color rgb="FFD99694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crop production and yield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73385913429284E-2"/>
          <c:y val="0.1898001332971552"/>
          <c:w val="0.87584514010397652"/>
          <c:h val="0.5200725494793244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Production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Oct*</c:v>
                </c:pt>
                <c:pt idx="11">
                  <c:v>2023/24 Nov*</c:v>
                </c:pt>
              </c:strCache>
            </c:strRef>
          </c:cat>
          <c:val>
            <c:numRef>
              <c:f>'Figure 1'!$B$2:$B$13</c:f>
              <c:numCache>
                <c:formatCode>_(* #,##0_);_(* \(#,##0\);_(* "-"??_);_(@_)</c:formatCode>
                <c:ptCount val="12"/>
                <c:pt idx="0">
                  <c:v>3357.0039999999999</c:v>
                </c:pt>
                <c:pt idx="1">
                  <c:v>3928.07</c:v>
                </c:pt>
                <c:pt idx="2">
                  <c:v>3926.779</c:v>
                </c:pt>
                <c:pt idx="3">
                  <c:v>4296.4960000000001</c:v>
                </c:pt>
                <c:pt idx="4">
                  <c:v>4411.6329999999998</c:v>
                </c:pt>
                <c:pt idx="5">
                  <c:v>4428.1499999999996</c:v>
                </c:pt>
                <c:pt idx="6">
                  <c:v>3551.9079999999999</c:v>
                </c:pt>
                <c:pt idx="7">
                  <c:v>4216.3019999999997</c:v>
                </c:pt>
                <c:pt idx="8">
                  <c:v>4465.3819999999996</c:v>
                </c:pt>
                <c:pt idx="9">
                  <c:v>4270.1959999999999</c:v>
                </c:pt>
                <c:pt idx="10">
                  <c:v>4104.3789999999999</c:v>
                </c:pt>
                <c:pt idx="11" formatCode="_(* #,##0_);_(* \(#,##0\);_(* &quot;-&quot;_);_(@_)">
                  <c:v>4129.4489999999996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2-42E1-9815-E0FD1DAE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4455439"/>
        <c:axId val="1284457935"/>
      </c:barChart>
      <c:lineChart>
        <c:grouping val="standard"/>
        <c:varyColors val="0"/>
        <c:ser>
          <c:idx val="5"/>
          <c:order val="1"/>
          <c:tx>
            <c:strRef>
              <c:f>'Figure 1'!$C$1</c:f>
              <c:strCache>
                <c:ptCount val="1"/>
                <c:pt idx="0">
                  <c:v>Yield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Oct*</c:v>
                </c:pt>
                <c:pt idx="11">
                  <c:v>2023/24 Nov*</c:v>
                </c:pt>
              </c:strCache>
            </c:strRef>
          </c:cat>
          <c:val>
            <c:numRef>
              <c:f>'Figure 1'!$C$2:$C$13</c:f>
              <c:numCache>
                <c:formatCode>#,##0.00</c:formatCode>
                <c:ptCount val="12"/>
                <c:pt idx="0">
                  <c:v>44.036099851770224</c:v>
                </c:pt>
                <c:pt idx="1">
                  <c:v>47.548994685937707</c:v>
                </c:pt>
                <c:pt idx="2">
                  <c:v>48.038694918157127</c:v>
                </c:pt>
                <c:pt idx="3">
                  <c:v>51.949024254588544</c:v>
                </c:pt>
                <c:pt idx="4">
                  <c:v>49.268868240602174</c:v>
                </c:pt>
                <c:pt idx="5">
                  <c:v>50.553120076717583</c:v>
                </c:pt>
                <c:pt idx="6">
                  <c:v>47.397323156167019</c:v>
                </c:pt>
                <c:pt idx="7">
                  <c:v>51.042964541239421</c:v>
                </c:pt>
                <c:pt idx="8">
                  <c:v>51.735355454629712</c:v>
                </c:pt>
                <c:pt idx="9">
                  <c:v>49.556058443291668</c:v>
                </c:pt>
                <c:pt idx="10" formatCode="0.00">
                  <c:v>49.575183292870001</c:v>
                </c:pt>
                <c:pt idx="11" formatCode="0.00">
                  <c:v>49.877993984853426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62-42E1-9815-E0FD1DAE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032943"/>
        <c:axId val="430037103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034735339737654"/>
              <c:y val="0.833704120318293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bushels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3.5014132848778519E-3"/>
              <c:y val="9.9194111152772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430037103"/>
        <c:scaling>
          <c:orientation val="minMax"/>
          <c:max val="55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Bushels per acre</a:t>
                </a:r>
              </a:p>
            </c:rich>
          </c:tx>
          <c:layout>
            <c:manualLayout>
              <c:xMode val="edge"/>
              <c:yMode val="edge"/>
              <c:x val="0.84568192262902475"/>
              <c:y val="0.1122268579744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0032943"/>
        <c:crosses val="max"/>
        <c:crossBetween val="between"/>
        <c:majorUnit val="5"/>
      </c:valAx>
      <c:catAx>
        <c:axId val="43003294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00371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312880560197872E-2"/>
          <c:y val="0.12475838402827188"/>
          <c:w val="0.74781151990729666"/>
          <c:h val="5.31828194700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  <a:endParaRPr lang="en-US" sz="800">
              <a:effectLst/>
            </a:endParaRPr>
          </a:p>
          <a:p>
            <a:pPr algn="l">
              <a:defRPr sz="1050" b="1"/>
            </a:pPr>
            <a:r>
              <a:rPr lang="en-US" sz="1100" b="1" i="0" baseline="0">
                <a:effectLst/>
              </a:rPr>
              <a:t>U.S. soybean harvest progress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1.4319901188821985E-2"/>
          <c:y val="6.289308176100629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28952150212006E-2"/>
          <c:y val="0.20825296889675429"/>
          <c:w val="0.89702503533212208"/>
          <c:h val="0.52530626835809169"/>
        </c:manualLayout>
      </c:layout>
      <c:lineChart>
        <c:grouping val="standard"/>
        <c:varyColors val="0"/>
        <c:ser>
          <c:idx val="0"/>
          <c:order val="0"/>
          <c:tx>
            <c:strRef>
              <c:f>'Figure 2 '!$B$2</c:f>
              <c:strCache>
                <c:ptCount val="1"/>
                <c:pt idx="0">
                  <c:v>2018–2022 average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'Figure 2 '!$A$3:$A$10</c:f>
              <c:numCache>
                <c:formatCode>mm/dd/yy</c:formatCode>
                <c:ptCount val="8"/>
                <c:pt idx="0">
                  <c:v>45186</c:v>
                </c:pt>
                <c:pt idx="1">
                  <c:v>45193</c:v>
                </c:pt>
                <c:pt idx="2">
                  <c:v>45200</c:v>
                </c:pt>
                <c:pt idx="3">
                  <c:v>45207</c:v>
                </c:pt>
                <c:pt idx="4">
                  <c:v>45214</c:v>
                </c:pt>
                <c:pt idx="5">
                  <c:v>45221</c:v>
                </c:pt>
                <c:pt idx="6">
                  <c:v>45228</c:v>
                </c:pt>
                <c:pt idx="7">
                  <c:v>45235</c:v>
                </c:pt>
              </c:numCache>
            </c:numRef>
          </c:cat>
          <c:val>
            <c:numRef>
              <c:f>'Figure 2 '!$B$3:$B$10</c:f>
              <c:numCache>
                <c:formatCode>General</c:formatCode>
                <c:ptCount val="8"/>
                <c:pt idx="0">
                  <c:v>4</c:v>
                </c:pt>
                <c:pt idx="1">
                  <c:v>11</c:v>
                </c:pt>
                <c:pt idx="2">
                  <c:v>22</c:v>
                </c:pt>
                <c:pt idx="3">
                  <c:v>37</c:v>
                </c:pt>
                <c:pt idx="4">
                  <c:v>52</c:v>
                </c:pt>
                <c:pt idx="5">
                  <c:v>67</c:v>
                </c:pt>
                <c:pt idx="6">
                  <c:v>78</c:v>
                </c:pt>
                <c:pt idx="7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0-489F-A12D-F087B5936447}"/>
            </c:ext>
          </c:extLst>
        </c:ser>
        <c:ser>
          <c:idx val="1"/>
          <c:order val="1"/>
          <c:tx>
            <c:strRef>
              <c:f>'Figure 2 '!$C$2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'Figure 2 '!$A$3:$A$10</c:f>
              <c:numCache>
                <c:formatCode>mm/dd/yy</c:formatCode>
                <c:ptCount val="8"/>
                <c:pt idx="0">
                  <c:v>45186</c:v>
                </c:pt>
                <c:pt idx="1">
                  <c:v>45193</c:v>
                </c:pt>
                <c:pt idx="2">
                  <c:v>45200</c:v>
                </c:pt>
                <c:pt idx="3">
                  <c:v>45207</c:v>
                </c:pt>
                <c:pt idx="4">
                  <c:v>45214</c:v>
                </c:pt>
                <c:pt idx="5">
                  <c:v>45221</c:v>
                </c:pt>
                <c:pt idx="6">
                  <c:v>45228</c:v>
                </c:pt>
                <c:pt idx="7">
                  <c:v>45235</c:v>
                </c:pt>
              </c:numCache>
            </c:numRef>
          </c:cat>
          <c:val>
            <c:numRef>
              <c:f>'Figure 2 '!$C$3:$C$10</c:f>
              <c:numCache>
                <c:formatCode>General</c:formatCode>
                <c:ptCount val="8"/>
                <c:pt idx="0">
                  <c:v>3</c:v>
                </c:pt>
                <c:pt idx="1">
                  <c:v>7</c:v>
                </c:pt>
                <c:pt idx="2">
                  <c:v>20</c:v>
                </c:pt>
                <c:pt idx="3">
                  <c:v>41</c:v>
                </c:pt>
                <c:pt idx="4">
                  <c:v>60</c:v>
                </c:pt>
                <c:pt idx="5">
                  <c:v>78</c:v>
                </c:pt>
                <c:pt idx="6">
                  <c:v>87</c:v>
                </c:pt>
                <c:pt idx="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C0-489F-A12D-F087B5936447}"/>
            </c:ext>
          </c:extLst>
        </c:ser>
        <c:ser>
          <c:idx val="2"/>
          <c:order val="2"/>
          <c:tx>
            <c:strRef>
              <c:f>'Figure 2 '!$D$2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'Figure 2 '!$A$3:$A$10</c:f>
              <c:numCache>
                <c:formatCode>mm/dd/yy</c:formatCode>
                <c:ptCount val="8"/>
                <c:pt idx="0">
                  <c:v>45186</c:v>
                </c:pt>
                <c:pt idx="1">
                  <c:v>45193</c:v>
                </c:pt>
                <c:pt idx="2">
                  <c:v>45200</c:v>
                </c:pt>
                <c:pt idx="3">
                  <c:v>45207</c:v>
                </c:pt>
                <c:pt idx="4">
                  <c:v>45214</c:v>
                </c:pt>
                <c:pt idx="5">
                  <c:v>45221</c:v>
                </c:pt>
                <c:pt idx="6">
                  <c:v>45228</c:v>
                </c:pt>
                <c:pt idx="7">
                  <c:v>45235</c:v>
                </c:pt>
              </c:numCache>
            </c:numRef>
          </c:cat>
          <c:val>
            <c:numRef>
              <c:f>'Figure 2 '!$D$3:$D$10</c:f>
              <c:numCache>
                <c:formatCode>General</c:formatCode>
                <c:ptCount val="8"/>
                <c:pt idx="0">
                  <c:v>5</c:v>
                </c:pt>
                <c:pt idx="1">
                  <c:v>12</c:v>
                </c:pt>
                <c:pt idx="2">
                  <c:v>23</c:v>
                </c:pt>
                <c:pt idx="3">
                  <c:v>43</c:v>
                </c:pt>
                <c:pt idx="4">
                  <c:v>62</c:v>
                </c:pt>
                <c:pt idx="5">
                  <c:v>76</c:v>
                </c:pt>
                <c:pt idx="6">
                  <c:v>85</c:v>
                </c:pt>
                <c:pt idx="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3C0-489F-A12D-F087B5936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Week ending</a:t>
                </a:r>
              </a:p>
            </c:rich>
          </c:tx>
          <c:layout>
            <c:manualLayout>
              <c:xMode val="edge"/>
              <c:yMode val="edge"/>
              <c:x val="0.46324668551046505"/>
              <c:y val="0.8574782318876806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mm/dd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days"/>
        <c:majorUnit val="7"/>
        <c:majorTimeUnit val="day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marL="0" marR="0" lvl="0" indent="0" algn="l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baseline="0">
                    <a:effectLst/>
                  </a:rPr>
                  <a:t>Percent harvested</a:t>
                </a:r>
                <a:endParaRPr lang="en-US" sz="9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789208752842167E-2"/>
              <c:y val="0.10664476292981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marL="0" marR="0" lvl="0" indent="0" algn="l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0840433407362539"/>
          <c:y val="0.11224516148324545"/>
          <c:w val="0.49257773066828187"/>
          <c:h val="5.27431466899970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>
                <a:effectLst/>
              </a:rPr>
              <a:t>U.S.</a:t>
            </a:r>
            <a:r>
              <a:rPr lang="en-US" sz="1050" baseline="0">
                <a:effectLst/>
              </a:rPr>
              <a:t> s</a:t>
            </a:r>
            <a:r>
              <a:rPr lang="en-US" sz="1050">
                <a:effectLst/>
              </a:rPr>
              <a:t>oybean oil used in biofuels, MY</a:t>
            </a:r>
            <a:r>
              <a:rPr lang="en-US" sz="1050" baseline="0">
                <a:effectLst/>
              </a:rPr>
              <a:t> 2018/19–2022/23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6361800928730067E-3"/>
          <c:y val="6.289318001916427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37313968403127E-2"/>
          <c:y val="0.23931915869201215"/>
          <c:w val="0.89769084048353665"/>
          <c:h val="0.50847734071483619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3'!$B$1</c:f>
              <c:strCache>
                <c:ptCount val="1"/>
                <c:pt idx="0">
                  <c:v>2018/19</c:v>
                </c:pt>
              </c:strCache>
            </c:strRef>
          </c:tx>
          <c:spPr>
            <a:ln w="1905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3'!$B$2:$B$13</c:f>
              <c:numCache>
                <c:formatCode>0</c:formatCode>
                <c:ptCount val="12"/>
                <c:pt idx="0">
                  <c:v>698.88</c:v>
                </c:pt>
                <c:pt idx="1">
                  <c:v>703.79</c:v>
                </c:pt>
                <c:pt idx="2">
                  <c:v>767.76</c:v>
                </c:pt>
                <c:pt idx="3">
                  <c:v>622.80999999999995</c:v>
                </c:pt>
                <c:pt idx="4">
                  <c:v>559.57000000000005</c:v>
                </c:pt>
                <c:pt idx="5">
                  <c:v>617.01</c:v>
                </c:pt>
                <c:pt idx="6">
                  <c:v>631.84</c:v>
                </c:pt>
                <c:pt idx="7">
                  <c:v>659.05</c:v>
                </c:pt>
                <c:pt idx="8">
                  <c:v>594.15</c:v>
                </c:pt>
                <c:pt idx="9">
                  <c:v>708.5</c:v>
                </c:pt>
                <c:pt idx="10">
                  <c:v>701.14</c:v>
                </c:pt>
                <c:pt idx="11">
                  <c:v>598.79999999999995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5A-40AF-9B1C-FCE17498377F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2019/20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3'!$C$2:$C$13</c:f>
              <c:numCache>
                <c:formatCode>0</c:formatCode>
                <c:ptCount val="12"/>
                <c:pt idx="0">
                  <c:v>557.52</c:v>
                </c:pt>
                <c:pt idx="1">
                  <c:v>526.53</c:v>
                </c:pt>
                <c:pt idx="2">
                  <c:v>541.04999999999995</c:v>
                </c:pt>
                <c:pt idx="3">
                  <c:v>521</c:v>
                </c:pt>
                <c:pt idx="4">
                  <c:v>574.78</c:v>
                </c:pt>
                <c:pt idx="5">
                  <c:v>656.02</c:v>
                </c:pt>
                <c:pt idx="6">
                  <c:v>671.81</c:v>
                </c:pt>
                <c:pt idx="7">
                  <c:v>805.35</c:v>
                </c:pt>
                <c:pt idx="8">
                  <c:v>747.07</c:v>
                </c:pt>
                <c:pt idx="9">
                  <c:v>774.83</c:v>
                </c:pt>
                <c:pt idx="10">
                  <c:v>745.33</c:v>
                </c:pt>
                <c:pt idx="11">
                  <c:v>736.53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5A-40AF-9B1C-FCE17498377F}"/>
            </c:ext>
          </c:extLst>
        </c:ser>
        <c:ser>
          <c:idx val="2"/>
          <c:order val="2"/>
          <c:tx>
            <c:strRef>
              <c:f>'Figure 3'!$D$1</c:f>
              <c:strCache>
                <c:ptCount val="1"/>
                <c:pt idx="0">
                  <c:v>2020/21</c:v>
                </c:pt>
              </c:strCache>
            </c:strRef>
          </c:tx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3'!$D$2:$D$13</c:f>
              <c:numCache>
                <c:formatCode>0</c:formatCode>
                <c:ptCount val="12"/>
                <c:pt idx="0">
                  <c:v>793.16666666666663</c:v>
                </c:pt>
                <c:pt idx="1">
                  <c:v>753.16666666666663</c:v>
                </c:pt>
                <c:pt idx="2">
                  <c:v>814.16666666666663</c:v>
                </c:pt>
                <c:pt idx="3">
                  <c:v>682.77</c:v>
                </c:pt>
                <c:pt idx="4">
                  <c:v>552.50900000000001</c:v>
                </c:pt>
                <c:pt idx="5">
                  <c:v>748.81299999999999</c:v>
                </c:pt>
                <c:pt idx="6">
                  <c:v>699.93299999999999</c:v>
                </c:pt>
                <c:pt idx="7">
                  <c:v>785.91399999999999</c:v>
                </c:pt>
                <c:pt idx="8">
                  <c:v>679.98199999999997</c:v>
                </c:pt>
                <c:pt idx="9">
                  <c:v>807.96799999999996</c:v>
                </c:pt>
                <c:pt idx="10">
                  <c:v>822.94799999999998</c:v>
                </c:pt>
                <c:pt idx="11">
                  <c:v>779.125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5A-40AF-9B1C-FCE17498377F}"/>
            </c:ext>
          </c:extLst>
        </c:ser>
        <c:ser>
          <c:idx val="3"/>
          <c:order val="3"/>
          <c:tx>
            <c:strRef>
              <c:f>'Figure 3'!$E$1</c:f>
              <c:strCache>
                <c:ptCount val="1"/>
                <c:pt idx="0">
                  <c:v>2021/22</c:v>
                </c:pt>
              </c:strCache>
            </c:strRef>
          </c:tx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3'!$E$2:$E$13</c:f>
              <c:numCache>
                <c:formatCode>0</c:formatCode>
                <c:ptCount val="12"/>
                <c:pt idx="0">
                  <c:v>832.42700000000002</c:v>
                </c:pt>
                <c:pt idx="1">
                  <c:v>818.01271279999992</c:v>
                </c:pt>
                <c:pt idx="2">
                  <c:v>938.34100000000001</c:v>
                </c:pt>
                <c:pt idx="3">
                  <c:v>791.48900000000003</c:v>
                </c:pt>
                <c:pt idx="4">
                  <c:v>758.13099999999997</c:v>
                </c:pt>
                <c:pt idx="5">
                  <c:v>919.11900000000003</c:v>
                </c:pt>
                <c:pt idx="6">
                  <c:v>842.00099999999998</c:v>
                </c:pt>
                <c:pt idx="7">
                  <c:v>855.74599999999998</c:v>
                </c:pt>
                <c:pt idx="8">
                  <c:v>809.79899999999998</c:v>
                </c:pt>
                <c:pt idx="9">
                  <c:v>956.48800000000006</c:v>
                </c:pt>
                <c:pt idx="10">
                  <c:v>924.71799999999996</c:v>
                </c:pt>
                <c:pt idx="11">
                  <c:v>932.48199999999997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5A-40AF-9B1C-FCE17498377F}"/>
            </c:ext>
          </c:extLst>
        </c:ser>
        <c:ser>
          <c:idx val="4"/>
          <c:order val="4"/>
          <c:tx>
            <c:strRef>
              <c:f>'Figure 3'!$F$1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dPt>
            <c:idx val="11"/>
            <c:bubble3D val="0"/>
            <c:spPr>
              <a:ln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E75A-40AF-9B1C-FCE17498377F}"/>
              </c:ext>
            </c:extLst>
          </c:dPt>
          <c:cat>
            <c:strRef>
              <c:f>'Figure 3'!$A$2:$A$13</c:f>
              <c:strCache>
                <c:ptCount val="12"/>
                <c:pt idx="0">
                  <c:v>Oct.</c:v>
                </c:pt>
                <c:pt idx="1">
                  <c:v>Nov.</c:v>
                </c:pt>
                <c:pt idx="2">
                  <c:v>Dec.</c:v>
                </c:pt>
                <c:pt idx="3">
                  <c:v>Jan.</c:v>
                </c:pt>
                <c:pt idx="4">
                  <c:v>Feb.</c:v>
                </c:pt>
                <c:pt idx="5">
                  <c:v>Mar.</c:v>
                </c:pt>
                <c:pt idx="6">
                  <c:v>Apr.</c:v>
                </c:pt>
                <c:pt idx="7">
                  <c:v>May</c:v>
                </c:pt>
                <c:pt idx="8">
                  <c:v>Jun.</c:v>
                </c:pt>
                <c:pt idx="9">
                  <c:v>July</c:v>
                </c:pt>
                <c:pt idx="10">
                  <c:v>Aug.</c:v>
                </c:pt>
                <c:pt idx="11">
                  <c:v>Sep.</c:v>
                </c:pt>
              </c:strCache>
            </c:strRef>
          </c:cat>
          <c:val>
            <c:numRef>
              <c:f>'Figure 3'!$F$2:$F$13</c:f>
              <c:numCache>
                <c:formatCode>0</c:formatCode>
                <c:ptCount val="12"/>
                <c:pt idx="0">
                  <c:v>906.40899999999999</c:v>
                </c:pt>
                <c:pt idx="1">
                  <c:v>943.34199999999998</c:v>
                </c:pt>
                <c:pt idx="2">
                  <c:v>885.65899999999999</c:v>
                </c:pt>
                <c:pt idx="3">
                  <c:v>940.87400000000002</c:v>
                </c:pt>
                <c:pt idx="4">
                  <c:v>909.98699999999997</c:v>
                </c:pt>
                <c:pt idx="5">
                  <c:v>952.70299999999997</c:v>
                </c:pt>
                <c:pt idx="6">
                  <c:v>926.59799999999996</c:v>
                </c:pt>
                <c:pt idx="7">
                  <c:v>1140.8710000000001</c:v>
                </c:pt>
                <c:pt idx="8">
                  <c:v>1206.92</c:v>
                </c:pt>
                <c:pt idx="9">
                  <c:v>1272.7660000000001</c:v>
                </c:pt>
                <c:pt idx="10">
                  <c:v>1197.1020000000001</c:v>
                </c:pt>
                <c:pt idx="11">
                  <c:v>1116.7689999999984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75A-40AF-9B1C-FCE174983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</a:p>
            </c:rich>
          </c:tx>
          <c:layout>
            <c:manualLayout>
              <c:xMode val="edge"/>
              <c:yMode val="edge"/>
              <c:x val="0.46962565176869731"/>
              <c:y val="0.8277412920504442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0"/>
        <c:lblAlgn val="ctr"/>
        <c:lblOffset val="100"/>
        <c:tickMarkSkip val="1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8.1457655807230748E-3"/>
              <c:y val="0.1597957759460669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20251803051839151"/>
          <c:y val="0.14573460395040902"/>
          <c:w val="0.66897020217853009"/>
          <c:h val="6.1328660405295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4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U.S. Canola oil domestic use and imports, MY 2016/17–2023/24</a:t>
            </a:r>
            <a:endParaRPr lang="en-US" sz="1100" b="1">
              <a:effectLst/>
            </a:endParaRPr>
          </a:p>
        </c:rich>
      </c:tx>
      <c:layout>
        <c:manualLayout>
          <c:xMode val="edge"/>
          <c:yMode val="edge"/>
          <c:x val="4.7851433204978222E-3"/>
          <c:y val="1.193009410409064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2976919640675574E-2"/>
          <c:y val="0.22339915396347668"/>
          <c:w val="0.9228130745246107"/>
          <c:h val="0.4599476483077038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4'!$B$1</c:f>
              <c:strCache>
                <c:ptCount val="1"/>
                <c:pt idx="0">
                  <c:v>Food use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4'!$A$2:$A$9</c:f>
              <c:strCache>
                <c:ptCount val="8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2023/24*</c:v>
                </c:pt>
              </c:strCache>
            </c:strRef>
          </c:cat>
          <c:val>
            <c:numRef>
              <c:f>'Figure 4'!$B$2:$B$9</c:f>
              <c:numCache>
                <c:formatCode>_(* #,##0.0_);_(* \(#,##0.0\);_(* "-"??_);_(@_)</c:formatCode>
                <c:ptCount val="8"/>
                <c:pt idx="0">
                  <c:v>4.55</c:v>
                </c:pt>
                <c:pt idx="1">
                  <c:v>4.22</c:v>
                </c:pt>
                <c:pt idx="2">
                  <c:v>4.18</c:v>
                </c:pt>
                <c:pt idx="3">
                  <c:v>4.3099999999999996</c:v>
                </c:pt>
                <c:pt idx="4">
                  <c:v>4.4400000000000004</c:v>
                </c:pt>
                <c:pt idx="5">
                  <c:v>4.3099999999999996</c:v>
                </c:pt>
                <c:pt idx="6">
                  <c:v>4.95</c:v>
                </c:pt>
                <c:pt idx="7">
                  <c:v>4.9000000000000004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93-43B4-BE1C-6DB1C73B5FB2}"/>
            </c:ext>
          </c:extLst>
        </c:ser>
        <c:ser>
          <c:idx val="0"/>
          <c:order val="1"/>
          <c:tx>
            <c:strRef>
              <c:f>'Figure 4'!$C$1</c:f>
              <c:strCache>
                <c:ptCount val="1"/>
                <c:pt idx="0">
                  <c:v>Biofuel use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38100">
              <a:noFill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D93-43B4-BE1C-6DB1C73B5FB2}"/>
              </c:ext>
            </c:extLst>
          </c:dPt>
          <c:dLbls>
            <c:dLbl>
              <c:idx val="0"/>
              <c:layout>
                <c:manualLayout>
                  <c:x val="-2.0102103488885089E-17"/>
                  <c:y val="-6.89304281022498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93-43B4-BE1C-6DB1C73B5FB2}"/>
                </c:ext>
              </c:extLst>
            </c:dLbl>
            <c:dLbl>
              <c:idx val="1"/>
              <c:layout>
                <c:manualLayout>
                  <c:x val="2.1929820774654516E-3"/>
                  <c:y val="-6.47965709195351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93-43B4-BE1C-6DB1C73B5FB2}"/>
                </c:ext>
              </c:extLst>
            </c:dLbl>
            <c:dLbl>
              <c:idx val="2"/>
              <c:layout>
                <c:manualLayout>
                  <c:x val="0"/>
                  <c:y val="-5.67928984795542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93-43B4-BE1C-6DB1C73B5FB2}"/>
                </c:ext>
              </c:extLst>
            </c:dLbl>
            <c:dLbl>
              <c:idx val="3"/>
              <c:layout>
                <c:manualLayout>
                  <c:x val="0"/>
                  <c:y val="-6.2917306320916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93-43B4-BE1C-6DB1C73B5FB2}"/>
                </c:ext>
              </c:extLst>
            </c:dLbl>
            <c:dLbl>
              <c:idx val="4"/>
              <c:layout>
                <c:manualLayout>
                  <c:x val="-8.0408413955540358E-17"/>
                  <c:y val="-5.820024719153617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93-43B4-BE1C-6DB1C73B5FB2}"/>
                </c:ext>
              </c:extLst>
            </c:dLbl>
            <c:dLbl>
              <c:idx val="5"/>
              <c:layout>
                <c:manualLayout>
                  <c:x val="-2.1929820774654516E-3"/>
                  <c:y val="-6.34070699718976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D93-43B4-BE1C-6DB1C73B5FB2}"/>
                </c:ext>
              </c:extLst>
            </c:dLbl>
            <c:dLbl>
              <c:idx val="6"/>
              <c:layout>
                <c:manualLayout>
                  <c:x val="0"/>
                  <c:y val="-0.109424643195631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D93-43B4-BE1C-6DB1C73B5FB2}"/>
                </c:ext>
              </c:extLst>
            </c:dLbl>
            <c:dLbl>
              <c:idx val="7"/>
              <c:layout>
                <c:manualLayout>
                  <c:x val="0"/>
                  <c:y val="-0.124860334682326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93-43B4-BE1C-6DB1C73B5FB2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4'!$A$2:$A$9</c:f>
              <c:strCache>
                <c:ptCount val="8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2023/24*</c:v>
                </c:pt>
              </c:strCache>
            </c:strRef>
          </c:cat>
          <c:val>
            <c:numRef>
              <c:f>'Figure 4'!$C$2:$C$9</c:f>
              <c:numCache>
                <c:formatCode>_(* #,##0.0_);_(* \(#,##0.0\);_(* "-"??_);_(@_)</c:formatCode>
                <c:ptCount val="8"/>
                <c:pt idx="0">
                  <c:v>1.29</c:v>
                </c:pt>
                <c:pt idx="1">
                  <c:v>1.38</c:v>
                </c:pt>
                <c:pt idx="2">
                  <c:v>1.1000000000000001</c:v>
                </c:pt>
                <c:pt idx="3">
                  <c:v>1.32</c:v>
                </c:pt>
                <c:pt idx="4">
                  <c:v>1.1499999999999999</c:v>
                </c:pt>
                <c:pt idx="5">
                  <c:v>1.34</c:v>
                </c:pt>
                <c:pt idx="6">
                  <c:v>2.97</c:v>
                </c:pt>
                <c:pt idx="7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93-43B4-BE1C-6DB1C73B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4'!$D$1</c:f>
              <c:strCache>
                <c:ptCount val="1"/>
                <c:pt idx="0">
                  <c:v>Imports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strRef>
              <c:f>'Figure 4'!$A$2:$A$9</c:f>
              <c:strCache>
                <c:ptCount val="8"/>
                <c:pt idx="0">
                  <c:v>2016/17</c:v>
                </c:pt>
                <c:pt idx="1">
                  <c:v>2017/18</c:v>
                </c:pt>
                <c:pt idx="2">
                  <c:v>2018/19</c:v>
                </c:pt>
                <c:pt idx="3">
                  <c:v>2019/20</c:v>
                </c:pt>
                <c:pt idx="4">
                  <c:v>2020/21</c:v>
                </c:pt>
                <c:pt idx="5">
                  <c:v>2021/22</c:v>
                </c:pt>
                <c:pt idx="6">
                  <c:v>2022/23</c:v>
                </c:pt>
                <c:pt idx="7">
                  <c:v>2023/24*</c:v>
                </c:pt>
              </c:strCache>
            </c:strRef>
          </c:cat>
          <c:val>
            <c:numRef>
              <c:f>'Figure 4'!$D$2:$D$9</c:f>
              <c:numCache>
                <c:formatCode>_(* #,##0.0_);_(* \(#,##0.0\);_(* "-"??_);_(@_)</c:formatCode>
                <c:ptCount val="8"/>
                <c:pt idx="0">
                  <c:v>4.41</c:v>
                </c:pt>
                <c:pt idx="1">
                  <c:v>4.08</c:v>
                </c:pt>
                <c:pt idx="2">
                  <c:v>3.91</c:v>
                </c:pt>
                <c:pt idx="3">
                  <c:v>4.03</c:v>
                </c:pt>
                <c:pt idx="4">
                  <c:v>4.12</c:v>
                </c:pt>
                <c:pt idx="5">
                  <c:v>4.42</c:v>
                </c:pt>
                <c:pt idx="6">
                  <c:v>6.27</c:v>
                </c:pt>
                <c:pt idx="7">
                  <c:v>6.61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93-43B4-BE1C-6DB1C73B5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3284866684240891"/>
              <c:y val="0.8241181418587736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Billion pounds</a:t>
                </a:r>
              </a:p>
            </c:rich>
          </c:tx>
          <c:layout>
            <c:manualLayout>
              <c:xMode val="edge"/>
              <c:yMode val="edge"/>
              <c:x val="1.3342137494450634E-2"/>
              <c:y val="0.132872668537357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</c:plotArea>
    <c:legend>
      <c:legendPos val="t"/>
      <c:layout>
        <c:manualLayout>
          <c:xMode val="edge"/>
          <c:yMode val="edge"/>
          <c:x val="0.16277228160445475"/>
          <c:y val="0.11339550829514218"/>
          <c:w val="0.75145541681898265"/>
          <c:h val="4.7850774378393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5</a:t>
            </a:r>
            <a:endParaRPr lang="en-US" sz="80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Russia's soybean supply and demand, MY 2013/14–2023/24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1.6352429968062843E-3"/>
          <c:y val="2.71526493970862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399253172250197E-2"/>
          <c:y val="0.20729156681501767"/>
          <c:w val="0.86575193950900242"/>
          <c:h val="0.402934529017206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5'!$B$1</c:f>
              <c:strCache>
                <c:ptCount val="1"/>
                <c:pt idx="0">
                  <c:v>Crush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8580246913580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60-45B7-80F3-000CFF4A9E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Oct*</c:v>
                </c:pt>
                <c:pt idx="11">
                  <c:v>2023/24 Nov*</c:v>
                </c:pt>
              </c:strCache>
            </c:strRef>
          </c:cat>
          <c:val>
            <c:numRef>
              <c:f>'Figure 5'!$B$2:$B$13</c:f>
              <c:numCache>
                <c:formatCode>_(* #,##0.00_);_(* \(#,##0.00\);_(* "-"??_);_(@_)</c:formatCode>
                <c:ptCount val="12"/>
                <c:pt idx="0">
                  <c:v>3.3</c:v>
                </c:pt>
                <c:pt idx="1">
                  <c:v>3.6</c:v>
                </c:pt>
                <c:pt idx="2">
                  <c:v>4</c:v>
                </c:pt>
                <c:pt idx="3">
                  <c:v>4.4000000000000004</c:v>
                </c:pt>
                <c:pt idx="4">
                  <c:v>4.5999999999999996</c:v>
                </c:pt>
                <c:pt idx="5">
                  <c:v>4.6500000000000004</c:v>
                </c:pt>
                <c:pt idx="6">
                  <c:v>4.6500000000000004</c:v>
                </c:pt>
                <c:pt idx="7">
                  <c:v>4.5</c:v>
                </c:pt>
                <c:pt idx="8">
                  <c:v>4.8</c:v>
                </c:pt>
                <c:pt idx="9">
                  <c:v>5.4</c:v>
                </c:pt>
                <c:pt idx="10">
                  <c:v>5.75</c:v>
                </c:pt>
                <c:pt idx="11">
                  <c:v>5.85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8-4AE6-8848-625258794E96}"/>
            </c:ext>
          </c:extLst>
        </c:ser>
        <c:ser>
          <c:idx val="0"/>
          <c:order val="1"/>
          <c:tx>
            <c:strRef>
              <c:f>'Figure 5'!$C$1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1A8-4AE6-8848-625258794E96}"/>
              </c:ext>
            </c:extLst>
          </c:dPt>
          <c:dLbls>
            <c:dLbl>
              <c:idx val="9"/>
              <c:layout>
                <c:manualLayout>
                  <c:x val="-1.5679385544193963E-16"/>
                  <c:y val="-1.9290123456790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60-45B7-80F3-000CFF4A9E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Oct*</c:v>
                </c:pt>
                <c:pt idx="11">
                  <c:v>2023/24 Nov*</c:v>
                </c:pt>
              </c:strCache>
            </c:strRef>
          </c:cat>
          <c:val>
            <c:numRef>
              <c:f>'Figure 5'!$C$2:$C$13</c:f>
              <c:numCache>
                <c:formatCode>_(* #,##0.00_);_(* \(#,##0.00\);_(* "-"??_);_(@_)</c:formatCode>
                <c:ptCount val="12"/>
                <c:pt idx="0">
                  <c:v>2.048</c:v>
                </c:pt>
                <c:pt idx="1">
                  <c:v>1.986</c:v>
                </c:pt>
                <c:pt idx="2">
                  <c:v>2.3359999999999999</c:v>
                </c:pt>
                <c:pt idx="3">
                  <c:v>2.2210000000000001</c:v>
                </c:pt>
                <c:pt idx="4">
                  <c:v>2.2370000000000001</c:v>
                </c:pt>
                <c:pt idx="5">
                  <c:v>2.1619999999999999</c:v>
                </c:pt>
                <c:pt idx="6">
                  <c:v>2.0470000000000002</c:v>
                </c:pt>
                <c:pt idx="7">
                  <c:v>2.0419999999999998</c:v>
                </c:pt>
                <c:pt idx="8">
                  <c:v>1.85</c:v>
                </c:pt>
                <c:pt idx="9">
                  <c:v>1.5</c:v>
                </c:pt>
                <c:pt idx="10">
                  <c:v>1.4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A8-4AE6-8848-62525879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100"/>
        <c:axId val="667172272"/>
        <c:axId val="667170632"/>
      </c:barChart>
      <c:lineChart>
        <c:grouping val="standard"/>
        <c:varyColors val="0"/>
        <c:ser>
          <c:idx val="2"/>
          <c:order val="2"/>
          <c:tx>
            <c:strRef>
              <c:f>'Figure 5'!$D$1</c:f>
              <c:strCache>
                <c:ptCount val="1"/>
                <c:pt idx="0">
                  <c:v>Production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'Figure 5'!$D$2:$D$13</c:f>
              <c:numCache>
                <c:formatCode>_(* #,##0.00_);_(* \(#,##0.00\);_(* "-"??_);_(@_)</c:formatCode>
                <c:ptCount val="12"/>
                <c:pt idx="0">
                  <c:v>1.5169999999999999</c:v>
                </c:pt>
                <c:pt idx="1">
                  <c:v>2.3620000000000001</c:v>
                </c:pt>
                <c:pt idx="2">
                  <c:v>2.7069999999999999</c:v>
                </c:pt>
                <c:pt idx="3">
                  <c:v>3.1339999999999999</c:v>
                </c:pt>
                <c:pt idx="4">
                  <c:v>3.621</c:v>
                </c:pt>
                <c:pt idx="5">
                  <c:v>4.0270000000000001</c:v>
                </c:pt>
                <c:pt idx="6">
                  <c:v>4.359</c:v>
                </c:pt>
                <c:pt idx="7">
                  <c:v>4.3070000000000004</c:v>
                </c:pt>
                <c:pt idx="8">
                  <c:v>4.76</c:v>
                </c:pt>
                <c:pt idx="9">
                  <c:v>5.9960000000000004</c:v>
                </c:pt>
                <c:pt idx="10">
                  <c:v>6</c:v>
                </c:pt>
                <c:pt idx="11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A8-4AE6-8848-62525879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4194649214814385"/>
              <c:y val="0.739725906744878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 sz="900"/>
              </a:p>
              <a:p>
                <a:pPr algn="l">
                  <a:defRPr/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768674185997004E-3"/>
              <c:y val="8.82996127726186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385094422530094"/>
          <c:y val="0.13971623112328349"/>
          <c:w val="0.42284055487435551"/>
          <c:h val="5.94687828450973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6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China's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soybean meal domestic consumption and crush, MY 2013/14–2023/24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8565291882014781E-2"/>
          <c:y val="0.26526348763366603"/>
          <c:w val="0.91722453733763043"/>
          <c:h val="0.39432591945684786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'Figure 6'!$D$1</c:f>
              <c:strCache>
                <c:ptCount val="1"/>
                <c:pt idx="0">
                  <c:v>Soybean meal domestic consumption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'Figure 6'!$D$2:$D$13</c:f>
              <c:numCache>
                <c:formatCode>_(* #,##0.0_);_(* \(#,##0.0\);_(* "-"??_);_(@_)</c:formatCode>
                <c:ptCount val="12"/>
                <c:pt idx="0">
                  <c:v>52.56</c:v>
                </c:pt>
                <c:pt idx="1">
                  <c:v>57.4</c:v>
                </c:pt>
                <c:pt idx="2">
                  <c:v>62.62</c:v>
                </c:pt>
                <c:pt idx="3">
                  <c:v>68.575000000000003</c:v>
                </c:pt>
                <c:pt idx="4">
                  <c:v>69.900000000000006</c:v>
                </c:pt>
                <c:pt idx="5">
                  <c:v>66.685000000000002</c:v>
                </c:pt>
                <c:pt idx="6">
                  <c:v>71.144999999999996</c:v>
                </c:pt>
                <c:pt idx="7">
                  <c:v>72.875</c:v>
                </c:pt>
                <c:pt idx="8">
                  <c:v>69.63</c:v>
                </c:pt>
                <c:pt idx="9">
                  <c:v>73.95</c:v>
                </c:pt>
                <c:pt idx="10">
                  <c:v>75.95</c:v>
                </c:pt>
                <c:pt idx="11">
                  <c:v>76.75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A1-4407-ADDE-853E36828FA5}"/>
            </c:ext>
          </c:extLst>
        </c:ser>
        <c:ser>
          <c:idx val="0"/>
          <c:order val="3"/>
          <c:tx>
            <c:strRef>
              <c:f>'Figure 6'!$E$1</c:f>
              <c:strCache>
                <c:ptCount val="1"/>
                <c:pt idx="0">
                  <c:v>Soybean meal exports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val>
            <c:numRef>
              <c:f>'Figure 6'!$E$2:$E$13</c:f>
              <c:numCache>
                <c:formatCode>_(* #,##0.0_);_(* \(#,##0.0\);_(* "-"??_);_(@_)</c:formatCode>
                <c:ptCount val="12"/>
                <c:pt idx="0">
                  <c:v>2.0169999999999999</c:v>
                </c:pt>
                <c:pt idx="1">
                  <c:v>1.595</c:v>
                </c:pt>
                <c:pt idx="2">
                  <c:v>1.909</c:v>
                </c:pt>
                <c:pt idx="3">
                  <c:v>1.111</c:v>
                </c:pt>
                <c:pt idx="4">
                  <c:v>1.198</c:v>
                </c:pt>
                <c:pt idx="5">
                  <c:v>0.93200000000000005</c:v>
                </c:pt>
                <c:pt idx="6">
                  <c:v>1.012</c:v>
                </c:pt>
                <c:pt idx="7">
                  <c:v>1.052</c:v>
                </c:pt>
                <c:pt idx="8">
                  <c:v>0.48399999999999999</c:v>
                </c:pt>
                <c:pt idx="9">
                  <c:v>0.79500000000000004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A1-4407-ADDE-853E3682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1"/>
          <c:order val="0"/>
          <c:tx>
            <c:strRef>
              <c:f>'Figure 6'!$B$1</c:f>
              <c:strCache>
                <c:ptCount val="1"/>
                <c:pt idx="0">
                  <c:v>Crush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'Figure 6'!$A$2:$A$13</c:f>
              <c:strCache>
                <c:ptCount val="12"/>
                <c:pt idx="0">
                  <c:v>2013/14</c:v>
                </c:pt>
                <c:pt idx="1">
                  <c:v>2014/15</c:v>
                </c:pt>
                <c:pt idx="2">
                  <c:v>2015/16</c:v>
                </c:pt>
                <c:pt idx="3">
                  <c:v>2016/17</c:v>
                </c:pt>
                <c:pt idx="4">
                  <c:v>2017/18</c:v>
                </c:pt>
                <c:pt idx="5">
                  <c:v>2018/19</c:v>
                </c:pt>
                <c:pt idx="6">
                  <c:v>2019/20</c:v>
                </c:pt>
                <c:pt idx="7">
                  <c:v>2020/21</c:v>
                </c:pt>
                <c:pt idx="8">
                  <c:v>2021/22</c:v>
                </c:pt>
                <c:pt idx="9">
                  <c:v>2022/23</c:v>
                </c:pt>
                <c:pt idx="10">
                  <c:v>2023/24 Oct*</c:v>
                </c:pt>
                <c:pt idx="11">
                  <c:v>2023/24 Nov*</c:v>
                </c:pt>
              </c:strCache>
            </c:strRef>
          </c:cat>
          <c:val>
            <c:numRef>
              <c:f>'Figure 6'!$B$2:$B$13</c:f>
              <c:numCache>
                <c:formatCode>_(* #,##0.0_);_(* \(#,##0.0\);_(* "-"??_);_(@_)</c:formatCode>
                <c:ptCount val="12"/>
                <c:pt idx="0">
                  <c:v>68.900000000000006</c:v>
                </c:pt>
                <c:pt idx="1">
                  <c:v>74.5</c:v>
                </c:pt>
                <c:pt idx="2">
                  <c:v>81.5</c:v>
                </c:pt>
                <c:pt idx="3">
                  <c:v>88</c:v>
                </c:pt>
                <c:pt idx="4">
                  <c:v>90</c:v>
                </c:pt>
                <c:pt idx="5">
                  <c:v>85</c:v>
                </c:pt>
                <c:pt idx="6">
                  <c:v>91.5</c:v>
                </c:pt>
                <c:pt idx="7">
                  <c:v>93</c:v>
                </c:pt>
                <c:pt idx="8">
                  <c:v>87.9</c:v>
                </c:pt>
                <c:pt idx="9">
                  <c:v>95</c:v>
                </c:pt>
                <c:pt idx="10">
                  <c:v>97</c:v>
                </c:pt>
                <c:pt idx="11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1-4407-ADDE-853E3682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455439"/>
        <c:axId val="1284457935"/>
        <c:extLst>
          <c:ext xmlns:c15="http://schemas.microsoft.com/office/drawing/2012/chart" uri="{02D57815-91ED-43cb-92C2-25804820EDAC}">
            <c15:filteredLineSeries>
              <c15:ser>
                <c:idx val="5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6'!$C$1</c15:sqref>
                        </c15:formulaRef>
                      </c:ext>
                    </c:extLst>
                    <c:strCache>
                      <c:ptCount val="1"/>
                      <c:pt idx="0">
                        <c:v>Soybean meal production</c:v>
                      </c:pt>
                    </c:strCache>
                  </c:strRef>
                </c:tx>
                <c:spPr>
                  <a:ln w="28575" cap="rnd">
                    <a:noFill/>
                    <a:round/>
                  </a:ln>
                  <a:effectLst/>
                </c:spPr>
                <c:marker>
                  <c:symbol val="dash"/>
                  <c:size val="12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'Figure 6'!$A$2:$A$13</c15:sqref>
                        </c15:formulaRef>
                      </c:ext>
                    </c:extLst>
                    <c:strCache>
                      <c:ptCount val="12"/>
                      <c:pt idx="0">
                        <c:v>2013/14</c:v>
                      </c:pt>
                      <c:pt idx="1">
                        <c:v>2014/15</c:v>
                      </c:pt>
                      <c:pt idx="2">
                        <c:v>2015/16</c:v>
                      </c:pt>
                      <c:pt idx="3">
                        <c:v>2016/17</c:v>
                      </c:pt>
                      <c:pt idx="4">
                        <c:v>2017/18</c:v>
                      </c:pt>
                      <c:pt idx="5">
                        <c:v>2018/19</c:v>
                      </c:pt>
                      <c:pt idx="6">
                        <c:v>2019/20</c:v>
                      </c:pt>
                      <c:pt idx="7">
                        <c:v>2020/21</c:v>
                      </c:pt>
                      <c:pt idx="8">
                        <c:v>2021/22</c:v>
                      </c:pt>
                      <c:pt idx="9">
                        <c:v>2022/23</c:v>
                      </c:pt>
                      <c:pt idx="10">
                        <c:v>2023/24 Oct*</c:v>
                      </c:pt>
                      <c:pt idx="11">
                        <c:v>2023/24 Nov*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6'!$C$2:$C$13</c15:sqref>
                        </c15:formulaRef>
                      </c:ext>
                    </c:extLst>
                    <c:numCache>
                      <c:formatCode>_(* #,##0.0_);_(* \(#,##0.0\);_(* "-"??_);_(@_)</c:formatCode>
                      <c:ptCount val="12"/>
                      <c:pt idx="0">
                        <c:v>54.569000000000003</c:v>
                      </c:pt>
                      <c:pt idx="1">
                        <c:v>59.003999999999998</c:v>
                      </c:pt>
                      <c:pt idx="2">
                        <c:v>64.548000000000002</c:v>
                      </c:pt>
                      <c:pt idx="3">
                        <c:v>69.695999999999998</c:v>
                      </c:pt>
                      <c:pt idx="4">
                        <c:v>71.28</c:v>
                      </c:pt>
                      <c:pt idx="5">
                        <c:v>67.319999999999993</c:v>
                      </c:pt>
                      <c:pt idx="6">
                        <c:v>72.468000000000004</c:v>
                      </c:pt>
                      <c:pt idx="7">
                        <c:v>73.656000000000006</c:v>
                      </c:pt>
                      <c:pt idx="8">
                        <c:v>69.617000000000004</c:v>
                      </c:pt>
                      <c:pt idx="9">
                        <c:v>75.239999999999995</c:v>
                      </c:pt>
                      <c:pt idx="10">
                        <c:v>76.823999999999998</c:v>
                      </c:pt>
                      <c:pt idx="11">
                        <c:v>77.616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1A1-4407-ADDE-853E36828FA5}"/>
                  </c:ext>
                </c:extLst>
              </c15:ser>
            </c15:filteredLineSeries>
          </c:ext>
        </c:extLst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year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703473285829472"/>
              <c:y val="0.797848243653087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metric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251697599836262E-3"/>
              <c:y val="0.15587304751463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2614349963101687"/>
          <c:y val="0.19144063668271616"/>
          <c:w val="0.79342362816721834"/>
          <c:h val="7.29798001374099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352106</xdr:colOff>
      <xdr:row>0</xdr:row>
      <xdr:rowOff>0</xdr:rowOff>
    </xdr:from>
    <xdr:to>
      <xdr:col>13</xdr:col>
      <xdr:colOff>487362</xdr:colOff>
      <xdr:row>19</xdr:row>
      <xdr:rowOff>132503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53C37C3-C0BF-4DD7-AB9D-884DCBAB4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0.8653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323167"/>
          <a:ext cx="5943601" cy="5173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2023.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508633</xdr:colOff>
      <xdr:row>0</xdr:row>
      <xdr:rowOff>103504</xdr:rowOff>
    </xdr:from>
    <xdr:to>
      <xdr:col>13</xdr:col>
      <xdr:colOff>556258</xdr:colOff>
      <xdr:row>23</xdr:row>
      <xdr:rowOff>52069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03F8909-7843-42C4-BAE3-4BED367975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0.89677</cdr:y>
    </cdr:from>
    <cdr:to>
      <cdr:x>1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98826"/>
          <a:ext cx="5943600" cy="3797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USDA,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National Agricultural Statistics Service, 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Crop Progress, </a:t>
          </a:r>
          <a:r>
            <a:rPr lang="en-US" sz="900" i="0" baseline="0">
              <a:latin typeface="Arial" panose="020B0604020202020204" pitchFamily="34" charset="0"/>
              <a:cs typeface="Arial" panose="020B0604020202020204" pitchFamily="34" charset="0"/>
            </a:rPr>
            <a:t>October 30, 2023</a:t>
          </a:r>
          <a:r>
            <a:rPr lang="en-US" sz="900" i="1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605790</xdr:colOff>
      <xdr:row>0</xdr:row>
      <xdr:rowOff>112395</xdr:rowOff>
    </xdr:from>
    <xdr:to>
      <xdr:col>16</xdr:col>
      <xdr:colOff>411699</xdr:colOff>
      <xdr:row>20</xdr:row>
      <xdr:rowOff>91440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6200CDE7-813C-41DB-81E0-F1127710B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0.84302</cdr:y>
    </cdr:from>
    <cdr:to>
      <cdr:x>1</cdr:x>
      <cdr:y>0.94369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966085"/>
          <a:ext cx="6084789" cy="354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MY=Marketing year.</a:t>
          </a:r>
        </a:p>
        <a:p xmlns:a="http://schemas.openxmlformats.org/drawingml/2006/main"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Note: Dotted line is estimate for September 2023.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U.S.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Department of Energy, U.S. Energy Information Administration.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85724</xdr:colOff>
      <xdr:row>0</xdr:row>
      <xdr:rowOff>219074</xdr:rowOff>
    </xdr:from>
    <xdr:to>
      <xdr:col>15</xdr:col>
      <xdr:colOff>390525</xdr:colOff>
      <xdr:row>23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C1D95DC-D241-6B02-49DE-4C162CD881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</cdr:y>
    </cdr:from>
    <cdr:to>
      <cdr:x>1</cdr:x>
      <cdr:y>0.98293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276601"/>
          <a:ext cx="5791201" cy="468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 = Marketing year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Research Service using data from USDA, World Agricultural Outlook Board,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November 2023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622935</xdr:colOff>
      <xdr:row>0</xdr:row>
      <xdr:rowOff>0</xdr:rowOff>
    </xdr:from>
    <xdr:to>
      <xdr:col>14</xdr:col>
      <xdr:colOff>466725</xdr:colOff>
      <xdr:row>19</xdr:row>
      <xdr:rowOff>53340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B7BBBAE7-235C-4B79-AF18-C04AB272D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0.83221</cdr:y>
    </cdr:from>
    <cdr:to>
      <cdr:x>1</cdr:x>
      <cdr:y>0.98315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834640"/>
          <a:ext cx="6092190" cy="5141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MY=Marketing year (Sep/Aug).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An asterisk (*) represents forecast. </a:t>
          </a: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2023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</xdr:colOff>
      <xdr:row>0</xdr:row>
      <xdr:rowOff>27938</xdr:rowOff>
    </xdr:from>
    <xdr:to>
      <xdr:col>16</xdr:col>
      <xdr:colOff>408940</xdr:colOff>
      <xdr:row>20</xdr:row>
      <xdr:rowOff>126999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E6BCB022-A075-4CC6-91B8-A9A0993A7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0.87342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067051"/>
          <a:ext cx="6480175" cy="444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</a:p>
        <a:p xmlns:a="http://schemas.openxmlformats.org/drawingml/2006/main"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USDA,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 Supply and Distribution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US" sz="8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November 2023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workbookViewId="0"/>
  </sheetViews>
  <sheetFormatPr defaultColWidth="9.7109375" defaultRowHeight="14.25"/>
  <cols>
    <col min="1" max="1" width="166.85546875" style="12" customWidth="1"/>
    <col min="2" max="16384" width="9.7109375" style="1"/>
  </cols>
  <sheetData>
    <row r="1" spans="1:3" ht="15">
      <c r="A1" s="7" t="s">
        <v>0</v>
      </c>
      <c r="B1" s="93"/>
      <c r="C1" s="93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93"/>
    </row>
    <row r="5" spans="1:3">
      <c r="A5" s="10" t="s">
        <v>3</v>
      </c>
      <c r="B5" s="4"/>
      <c r="C5" s="93"/>
    </row>
    <row r="6" spans="1:3">
      <c r="A6" s="10" t="s">
        <v>4</v>
      </c>
      <c r="B6" s="4"/>
      <c r="C6" s="93"/>
    </row>
    <row r="7" spans="1:3">
      <c r="A7" s="10" t="s">
        <v>5</v>
      </c>
      <c r="B7" s="4"/>
      <c r="C7" s="93"/>
    </row>
    <row r="8" spans="1:3">
      <c r="A8" s="10" t="s">
        <v>6</v>
      </c>
      <c r="B8" s="4"/>
      <c r="C8" s="93"/>
    </row>
    <row r="9" spans="1:3">
      <c r="A9" s="10" t="s">
        <v>7</v>
      </c>
      <c r="B9" s="4"/>
      <c r="C9" s="93"/>
    </row>
    <row r="10" spans="1:3">
      <c r="A10" s="10" t="s">
        <v>8</v>
      </c>
      <c r="B10" s="4"/>
      <c r="C10" s="93"/>
    </row>
    <row r="11" spans="1:3">
      <c r="A11" s="10" t="s">
        <v>9</v>
      </c>
      <c r="B11" s="4"/>
      <c r="C11" s="93"/>
    </row>
    <row r="12" spans="1:3">
      <c r="A12" s="10" t="s">
        <v>10</v>
      </c>
      <c r="B12" s="4"/>
      <c r="C12" s="93"/>
    </row>
    <row r="13" spans="1:3">
      <c r="A13" s="11" t="s">
        <v>11</v>
      </c>
      <c r="B13" s="4"/>
      <c r="C13" s="93"/>
    </row>
    <row r="14" spans="1:3" ht="12.75">
      <c r="A14" s="93"/>
      <c r="B14" s="93"/>
      <c r="C14" s="93"/>
    </row>
    <row r="15" spans="1:3" ht="15">
      <c r="A15" s="7" t="s">
        <v>12</v>
      </c>
      <c r="B15" s="93"/>
      <c r="C15" s="93"/>
    </row>
    <row r="16" spans="1:3" ht="15">
      <c r="A16" s="9">
        <v>45244</v>
      </c>
      <c r="B16" s="93"/>
      <c r="C16" s="93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46"/>
  <sheetViews>
    <sheetView showGridLines="0" zoomScale="70" zoomScaleNormal="70" workbookViewId="0">
      <pane xSplit="1" ySplit="4" topLeftCell="B5" activePane="bottomRight" state="frozen"/>
      <selection pane="topRight" activeCell="A43" sqref="A43"/>
      <selection pane="bottomLeft" activeCell="A43" sqref="A43"/>
      <selection pane="bottomRight" activeCell="B33" sqref="B33"/>
    </sheetView>
  </sheetViews>
  <sheetFormatPr defaultColWidth="9.140625" defaultRowHeight="12.75"/>
  <cols>
    <col min="1" max="1" width="21.7109375" customWidth="1"/>
    <col min="2" max="2" width="14.140625" customWidth="1"/>
    <col min="3" max="3" width="9.5703125" customWidth="1"/>
    <col min="4" max="4" width="26.7109375" customWidth="1"/>
    <col min="5" max="5" width="9.7109375" customWidth="1"/>
    <col min="6" max="6" width="10.7109375" customWidth="1"/>
    <col min="7" max="7" width="19.85546875" customWidth="1"/>
    <col min="8" max="8" width="9.7109375" customWidth="1"/>
    <col min="9" max="9" width="1.7109375" customWidth="1"/>
    <col min="10" max="10" width="14.7109375" customWidth="1"/>
    <col min="11" max="12" width="10.7109375" customWidth="1"/>
    <col min="13" max="13" width="10.28515625" customWidth="1"/>
    <col min="14" max="14" width="9.7109375" customWidth="1"/>
    <col min="17" max="17" width="15.42578125" bestFit="1" customWidth="1"/>
    <col min="18" max="18" width="13.28515625" bestFit="1" customWidth="1"/>
    <col min="22" max="22" width="12.140625" customWidth="1"/>
    <col min="24" max="24" width="10.42578125" bestFit="1" customWidth="1"/>
  </cols>
  <sheetData>
    <row r="1" spans="1:23" ht="14.25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4.25">
      <c r="A2" s="15"/>
      <c r="B2" s="16" t="s">
        <v>13</v>
      </c>
      <c r="C2" s="136"/>
      <c r="D2" s="17" t="s">
        <v>14</v>
      </c>
      <c r="E2" s="18"/>
      <c r="F2" s="136" t="s">
        <v>15</v>
      </c>
      <c r="G2" s="136"/>
      <c r="H2" s="136"/>
      <c r="I2" s="15"/>
      <c r="J2" s="18"/>
      <c r="K2" s="136"/>
      <c r="L2" s="19" t="s">
        <v>16</v>
      </c>
      <c r="M2" s="136"/>
      <c r="N2" s="15"/>
    </row>
    <row r="3" spans="1:23" ht="14.25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4.25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25">
      <c r="A5" s="15"/>
      <c r="B5" s="27" t="s">
        <v>31</v>
      </c>
      <c r="C5" s="137"/>
      <c r="D5" s="28" t="s">
        <v>32</v>
      </c>
      <c r="G5" s="27"/>
      <c r="I5" s="27"/>
      <c r="J5" s="27" t="s">
        <v>33</v>
      </c>
      <c r="K5" s="27"/>
      <c r="L5" s="27"/>
      <c r="M5" s="27"/>
      <c r="N5" s="27"/>
      <c r="W5" s="26"/>
    </row>
    <row r="6" spans="1:23" ht="16.5" customHeight="1">
      <c r="A6" s="15" t="s">
        <v>34</v>
      </c>
      <c r="B6" s="29">
        <v>87.194999999999993</v>
      </c>
      <c r="C6" s="29">
        <v>86.311999999999998</v>
      </c>
      <c r="D6" s="29">
        <f>F6/C6</f>
        <v>51.735355454629712</v>
      </c>
      <c r="E6" s="30">
        <v>256.97899999999998</v>
      </c>
      <c r="F6" s="31">
        <v>4465.3819999999996</v>
      </c>
      <c r="G6" s="32">
        <v>15.915130131319001</v>
      </c>
      <c r="H6" s="32">
        <f>SUM(E6:G6)</f>
        <v>4738.2761301313185</v>
      </c>
      <c r="I6" s="15"/>
      <c r="J6" s="31">
        <v>2203.8727764571586</v>
      </c>
      <c r="K6" s="31">
        <f>M6-L6-J6</f>
        <v>107.89538551899886</v>
      </c>
      <c r="L6" s="32">
        <v>2152.1139681551608</v>
      </c>
      <c r="M6" s="32">
        <f>H6-N6</f>
        <v>4463.8821301313183</v>
      </c>
      <c r="N6" s="32">
        <v>274.39400000000001</v>
      </c>
    </row>
    <row r="7" spans="1:23" ht="16.5" customHeight="1">
      <c r="A7" s="15" t="s">
        <v>35</v>
      </c>
      <c r="B7" s="29">
        <v>87.45</v>
      </c>
      <c r="C7" s="29">
        <v>86.168999999999997</v>
      </c>
      <c r="D7" s="29">
        <f>F7/C7</f>
        <v>49.556058443291668</v>
      </c>
      <c r="E7" s="30">
        <f>N6</f>
        <v>274.39400000000001</v>
      </c>
      <c r="F7" s="31">
        <f>F14</f>
        <v>4270.1959999999999</v>
      </c>
      <c r="G7" s="32">
        <f>G27</f>
        <v>24.512114749955</v>
      </c>
      <c r="H7" s="32">
        <f>SUM(E7:G7)</f>
        <v>4569.102114749955</v>
      </c>
      <c r="I7" s="15"/>
      <c r="J7" s="31">
        <f>J27</f>
        <v>2211.9384453555185</v>
      </c>
      <c r="K7" s="31">
        <f t="shared" ref="K7" si="0">M7-L7-J7</f>
        <v>97.142582674273399</v>
      </c>
      <c r="L7" s="32">
        <f>L27</f>
        <v>1991.816086720163</v>
      </c>
      <c r="M7" s="32">
        <f>H7-N7</f>
        <v>4300.8971147499551</v>
      </c>
      <c r="N7" s="32">
        <f>N26</f>
        <v>268.20499999999998</v>
      </c>
      <c r="P7" s="130"/>
    </row>
    <row r="8" spans="1:23" ht="16.5" customHeight="1">
      <c r="A8" s="15" t="s">
        <v>36</v>
      </c>
      <c r="B8" s="29">
        <v>83.6</v>
      </c>
      <c r="C8" s="29">
        <v>82.790999999999997</v>
      </c>
      <c r="D8" s="29">
        <f>F8/C8</f>
        <v>49.877993984853426</v>
      </c>
      <c r="E8" s="30">
        <f>N7</f>
        <v>268.20499999999998</v>
      </c>
      <c r="F8" s="31">
        <v>4129.4489999999996</v>
      </c>
      <c r="G8" s="32">
        <v>30</v>
      </c>
      <c r="H8" s="32">
        <f>SUM(E8:G8)</f>
        <v>4427.6539999999995</v>
      </c>
      <c r="I8" s="15"/>
      <c r="J8" s="31">
        <v>2300</v>
      </c>
      <c r="K8" s="180">
        <v>127</v>
      </c>
      <c r="L8" s="32">
        <v>1755</v>
      </c>
      <c r="M8" s="32">
        <f>SUM(J8:L8)</f>
        <v>4182</v>
      </c>
      <c r="N8" s="32">
        <f>H8-M8</f>
        <v>245.65399999999954</v>
      </c>
      <c r="P8" s="130"/>
    </row>
    <row r="9" spans="1:23" ht="16.5" customHeight="1">
      <c r="A9" s="15"/>
      <c r="B9" s="15"/>
      <c r="C9" s="15"/>
      <c r="D9" s="15"/>
      <c r="E9" s="33"/>
      <c r="F9" s="33"/>
      <c r="G9" s="34"/>
      <c r="H9" s="33"/>
      <c r="I9" s="33"/>
      <c r="J9" s="34"/>
      <c r="K9" s="34"/>
      <c r="L9" s="34"/>
      <c r="M9" s="34"/>
      <c r="N9" s="34"/>
    </row>
    <row r="10" spans="1:23" ht="16.5" customHeight="1">
      <c r="A10" s="35" t="s">
        <v>52</v>
      </c>
      <c r="B10" s="94"/>
      <c r="C10" s="94"/>
      <c r="D10" s="94"/>
      <c r="E10" s="37"/>
      <c r="F10" s="37"/>
      <c r="G10" s="6"/>
      <c r="H10" s="13"/>
      <c r="I10" s="94"/>
      <c r="J10" s="13"/>
      <c r="K10" s="36"/>
      <c r="L10" s="6"/>
      <c r="M10" s="6"/>
      <c r="N10" s="13"/>
    </row>
    <row r="11" spans="1:23" ht="16.5" customHeight="1">
      <c r="A11" s="15" t="s">
        <v>37</v>
      </c>
      <c r="B11" s="94"/>
      <c r="C11" s="94"/>
      <c r="D11" s="94"/>
      <c r="E11" s="37"/>
      <c r="F11" s="37"/>
      <c r="G11" s="6">
        <f>(31794.8*36.74371)/1000000</f>
        <v>1.1682589107079999</v>
      </c>
      <c r="H11" s="13"/>
      <c r="I11" s="94"/>
      <c r="J11" s="6">
        <f>((5028287*0.907185)*36.74371)/1000000</f>
        <v>167.60961304264146</v>
      </c>
      <c r="K11" s="36"/>
      <c r="L11" s="6">
        <f>(2077930.3*36.74371)/1000000</f>
        <v>76.350868343412998</v>
      </c>
      <c r="M11" s="6"/>
      <c r="N11" s="13"/>
      <c r="Q11" s="99"/>
    </row>
    <row r="12" spans="1:23" ht="16.5" customHeight="1">
      <c r="A12" s="15" t="s">
        <v>38</v>
      </c>
      <c r="B12" s="94"/>
      <c r="C12" s="94"/>
      <c r="D12" s="94"/>
      <c r="E12" s="37"/>
      <c r="F12" s="37"/>
      <c r="G12" s="6">
        <f>(33827.2*36.74371)/1000000</f>
        <v>1.2429368269119998</v>
      </c>
      <c r="H12" s="13"/>
      <c r="I12" s="94"/>
      <c r="J12" s="6">
        <f>((5899694*0.907185)*36.74371)/1000000</f>
        <v>196.65652107964277</v>
      </c>
      <c r="K12" s="36"/>
      <c r="L12" s="6">
        <f>(9947619.5*36.74371)/1000000</f>
        <v>365.51244609834498</v>
      </c>
      <c r="M12" s="6"/>
      <c r="N12" s="13"/>
      <c r="Q12" s="99"/>
    </row>
    <row r="13" spans="1:23" ht="16.5" customHeight="1">
      <c r="A13" s="15" t="s">
        <v>39</v>
      </c>
      <c r="B13" s="94"/>
      <c r="C13" s="94"/>
      <c r="D13" s="94"/>
      <c r="E13" s="37"/>
      <c r="F13" s="37"/>
      <c r="G13" s="6">
        <f>(35058.7*36.74371)/1000000</f>
        <v>1.288186705777</v>
      </c>
      <c r="H13" s="13"/>
      <c r="I13" s="94"/>
      <c r="J13" s="6">
        <f>((5687098*0.907185)*36.74371)/1000000</f>
        <v>189.56998578553299</v>
      </c>
      <c r="K13" s="36"/>
      <c r="L13" s="6">
        <f>(9794669.4*36.74371)/1000000</f>
        <v>359.89249197947402</v>
      </c>
      <c r="M13" s="6"/>
      <c r="N13" s="13"/>
      <c r="Q13" s="99"/>
    </row>
    <row r="14" spans="1:23" ht="16.5" customHeight="1">
      <c r="A14" s="15" t="s">
        <v>40</v>
      </c>
      <c r="B14" s="94"/>
      <c r="C14" s="94"/>
      <c r="D14" s="94"/>
      <c r="E14" s="37">
        <f>N7</f>
        <v>268.20499999999998</v>
      </c>
      <c r="F14" s="37">
        <v>4270.1959999999999</v>
      </c>
      <c r="G14" s="6">
        <f>SUM(G11:G13)</f>
        <v>3.699382443397</v>
      </c>
      <c r="H14" s="13">
        <f>SUM(E14:G14)</f>
        <v>4542.1003824433965</v>
      </c>
      <c r="I14" s="94"/>
      <c r="J14" s="6">
        <f>SUM(J11:J13)</f>
        <v>553.83611990781719</v>
      </c>
      <c r="K14" s="36">
        <f>M14-L14-J14</f>
        <v>165.35645611434722</v>
      </c>
      <c r="L14" s="6">
        <f>SUM(L11:L13)</f>
        <v>801.75580642123202</v>
      </c>
      <c r="M14" s="6">
        <f>H14-N14</f>
        <v>1520.9483824433964</v>
      </c>
      <c r="N14" s="13">
        <f>3021.152</f>
        <v>3021.152</v>
      </c>
    </row>
    <row r="15" spans="1:23" ht="16.5" customHeight="1">
      <c r="A15" s="15" t="s">
        <v>41</v>
      </c>
      <c r="B15" s="94"/>
      <c r="C15" s="94"/>
      <c r="D15" s="94"/>
      <c r="E15" s="37"/>
      <c r="F15" s="106"/>
      <c r="G15" s="6">
        <f>(36017.3*36.74371)/1000000</f>
        <v>1.3234092261829999</v>
      </c>
      <c r="H15" s="13"/>
      <c r="I15" s="94"/>
      <c r="J15" s="6">
        <f>((5622561*0.907185)*36.74371)/1000000</f>
        <v>187.41875185697378</v>
      </c>
      <c r="K15" s="36"/>
      <c r="L15" s="6">
        <f>(7968849.1*36.74371)/1000000</f>
        <v>292.80508036416103</v>
      </c>
      <c r="M15" s="6"/>
      <c r="N15" s="13"/>
    </row>
    <row r="16" spans="1:23" ht="16.5" customHeight="1">
      <c r="A16" s="15" t="s">
        <v>42</v>
      </c>
      <c r="B16" s="94"/>
      <c r="C16" s="94"/>
      <c r="D16" s="94"/>
      <c r="E16" s="37"/>
      <c r="F16" s="106"/>
      <c r="G16" s="6">
        <f>(5893.9*36.74371)/1000000</f>
        <v>0.216563752369</v>
      </c>
      <c r="H16" s="13"/>
      <c r="I16" s="94"/>
      <c r="J16" s="6">
        <f>((5734398*0.907185)*36.74371)/1000000</f>
        <v>191.14665288844833</v>
      </c>
      <c r="K16" s="36"/>
      <c r="L16" s="6">
        <f>(8559125.5*36.74371)/1000000</f>
        <v>314.49402522560501</v>
      </c>
      <c r="M16" s="6"/>
      <c r="N16" s="13"/>
    </row>
    <row r="17" spans="1:24" ht="16.5" customHeight="1">
      <c r="A17" s="15" t="s">
        <v>43</v>
      </c>
      <c r="B17" s="94"/>
      <c r="C17" s="94"/>
      <c r="D17" s="94"/>
      <c r="E17" s="37"/>
      <c r="F17" s="106"/>
      <c r="G17" s="6">
        <f>(27761.8*36.7371)/1000000</f>
        <v>1.0198880227799998</v>
      </c>
      <c r="H17" s="13"/>
      <c r="I17" s="94"/>
      <c r="J17" s="6">
        <f>((5306995*0.907185)*36.74371)/1000000</f>
        <v>176.89988227983665</v>
      </c>
      <c r="K17" s="36"/>
      <c r="L17" s="6">
        <f>(5374314*36.74371)/1000000</f>
        <v>197.47223506494001</v>
      </c>
      <c r="M17" s="6"/>
      <c r="N17" s="13"/>
      <c r="Q17" s="99"/>
    </row>
    <row r="18" spans="1:24" ht="16.5" customHeight="1">
      <c r="A18" s="15" t="s">
        <v>44</v>
      </c>
      <c r="B18" s="94"/>
      <c r="C18" s="94"/>
      <c r="D18" s="94"/>
      <c r="E18" s="37">
        <f>N14</f>
        <v>3021.152</v>
      </c>
      <c r="F18" s="106"/>
      <c r="G18" s="6">
        <f>SUM(G15:G17)</f>
        <v>2.559861001332</v>
      </c>
      <c r="H18" s="13">
        <f>SUM(E18:G18)</f>
        <v>3023.7118610013322</v>
      </c>
      <c r="I18" s="94"/>
      <c r="J18" s="6">
        <f>SUM(J15:J17)</f>
        <v>555.46528702525882</v>
      </c>
      <c r="K18" s="36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9"/>
    </row>
    <row r="19" spans="1:24" ht="16.5" customHeight="1">
      <c r="A19" s="15" t="s">
        <v>45</v>
      </c>
      <c r="B19" s="94"/>
      <c r="C19" s="94"/>
      <c r="D19" s="94"/>
      <c r="E19" s="37"/>
      <c r="F19" s="106"/>
      <c r="G19" s="6">
        <f>(34752.6*36.74371)/1000000</f>
        <v>1.2769394561459999</v>
      </c>
      <c r="H19" s="13"/>
      <c r="I19" s="94"/>
      <c r="J19" s="6">
        <f>((5939012*0.907185)*36.74371)/1000000</f>
        <v>197.96712144227334</v>
      </c>
      <c r="K19" s="36"/>
      <c r="L19" s="6">
        <f>(3135729.4*36.74371)/1000000</f>
        <v>115.21833171207399</v>
      </c>
      <c r="M19" s="6"/>
      <c r="N19" s="13"/>
      <c r="Q19" s="99"/>
    </row>
    <row r="20" spans="1:24" ht="16.5" customHeight="1">
      <c r="A20" s="15" t="s">
        <v>46</v>
      </c>
      <c r="B20" s="94"/>
      <c r="C20" s="94"/>
      <c r="D20" s="94"/>
      <c r="E20" s="37"/>
      <c r="F20" s="106"/>
      <c r="G20" s="6">
        <f>(8485.3*36.74371)/1000000</f>
        <v>0.31178140246299996</v>
      </c>
      <c r="H20" s="13"/>
      <c r="I20" s="94"/>
      <c r="J20" s="6">
        <f>((5609607*0.907185)*36.74371)/1000000</f>
        <v>186.98695173749888</v>
      </c>
      <c r="K20" s="36"/>
      <c r="L20" s="6">
        <f>(2554266.9*36.74371)/1000000</f>
        <v>93.853242236198994</v>
      </c>
      <c r="M20" s="6"/>
      <c r="N20" s="13"/>
    </row>
    <row r="21" spans="1:24" ht="16.5" customHeight="1">
      <c r="A21" s="15" t="s">
        <v>47</v>
      </c>
      <c r="B21" s="94"/>
      <c r="C21" s="94"/>
      <c r="D21" s="94"/>
      <c r="E21" s="37"/>
      <c r="F21" s="106"/>
      <c r="G21" s="6">
        <f>(126995.3*36.74371)/1000000</f>
        <v>4.6662784745629997</v>
      </c>
      <c r="H21" s="13"/>
      <c r="I21" s="94"/>
      <c r="J21" s="6">
        <f>((5679096*0.907185)*36.74371)/1000000</f>
        <v>189.30325237839708</v>
      </c>
      <c r="K21" s="36"/>
      <c r="L21" s="6">
        <f>(986447.6*36.74371)/1000000</f>
        <v>36.245744544596</v>
      </c>
      <c r="M21" s="6"/>
      <c r="N21" s="13"/>
      <c r="P21" s="94"/>
      <c r="Q21" s="99"/>
    </row>
    <row r="22" spans="1:24" ht="16.5" customHeight="1">
      <c r="A22" s="15" t="s">
        <v>48</v>
      </c>
      <c r="B22" s="94"/>
      <c r="C22" s="94"/>
      <c r="D22" s="94"/>
      <c r="E22" s="37">
        <f>N18</f>
        <v>1686.6320000000001</v>
      </c>
      <c r="F22" s="106"/>
      <c r="G22" s="6">
        <f>SUM(G19:G21)</f>
        <v>6.254999333172</v>
      </c>
      <c r="H22" s="13">
        <f>SUM(E22:G22)</f>
        <v>1692.8869993331721</v>
      </c>
      <c r="I22" s="94"/>
      <c r="J22" s="6">
        <f>SUM(J19:J21)</f>
        <v>574.25732555816921</v>
      </c>
      <c r="K22" s="36">
        <f>M22-L22-J22</f>
        <v>77.741355282133782</v>
      </c>
      <c r="L22" s="6">
        <f>SUM(L19:L21)</f>
        <v>245.31731849286899</v>
      </c>
      <c r="M22" s="6">
        <f>H22-N22</f>
        <v>897.31599933317204</v>
      </c>
      <c r="N22" s="13">
        <f>795.571</f>
        <v>795.57100000000003</v>
      </c>
      <c r="P22" s="94"/>
    </row>
    <row r="23" spans="1:24" ht="16.5" customHeight="1">
      <c r="A23" s="15" t="s">
        <v>49</v>
      </c>
      <c r="B23" s="94"/>
      <c r="C23" s="94"/>
      <c r="D23" s="94"/>
      <c r="E23" s="37"/>
      <c r="F23" s="106"/>
      <c r="G23" s="6">
        <f>(166679*36.744)/1000000</f>
        <v>6.1244531760000003</v>
      </c>
      <c r="H23" s="13"/>
      <c r="I23" s="94"/>
      <c r="J23" s="6">
        <f>((5236516*0.907185)*36.74371)/1000000</f>
        <v>174.55058162980768</v>
      </c>
      <c r="K23" s="36"/>
      <c r="L23" s="6">
        <f>(831037.3*36.74371)/1000000</f>
        <v>30.535393550383002</v>
      </c>
      <c r="M23" s="6"/>
      <c r="N23" s="13"/>
    </row>
    <row r="24" spans="1:24" ht="16.5" customHeight="1">
      <c r="A24" s="15" t="s">
        <v>50</v>
      </c>
      <c r="B24" s="94"/>
      <c r="C24" s="94"/>
      <c r="D24" s="94"/>
      <c r="E24" s="37"/>
      <c r="F24" s="106"/>
      <c r="G24" s="6">
        <f>(114325.1*36.74371)/1000000</f>
        <v>4.2007283201210006</v>
      </c>
      <c r="H24" s="13"/>
      <c r="I24" s="94"/>
      <c r="J24" s="6">
        <f>((5545001*0.907185)*36.74371)/1000000</f>
        <v>184.83341780830332</v>
      </c>
      <c r="K24" s="36"/>
      <c r="L24" s="6">
        <f>(1275803.3*36.74371)/1000000</f>
        <v>46.877746472243004</v>
      </c>
      <c r="M24" s="6"/>
      <c r="N24" s="13"/>
      <c r="Q24" s="99"/>
    </row>
    <row r="25" spans="1:24" ht="16.5" customHeight="1">
      <c r="A25" s="15" t="s">
        <v>51</v>
      </c>
      <c r="B25" s="94"/>
      <c r="C25" s="94"/>
      <c r="D25" s="94"/>
      <c r="E25" s="37"/>
      <c r="F25" s="106"/>
      <c r="G25" s="6">
        <f>(45519.5*36.74371)/1000000</f>
        <v>1.6725553073450001</v>
      </c>
      <c r="H25" s="13"/>
      <c r="I25" s="94"/>
      <c r="J25" s="6">
        <f>((5069870*0.907185)*36.74371)/1000000</f>
        <v>168.99571342616218</v>
      </c>
      <c r="K25" s="36"/>
      <c r="L25" s="6">
        <f>(1702563*36.74371)/1000000</f>
        <v>62.558481128730001</v>
      </c>
      <c r="M25" s="6"/>
      <c r="N25" s="13"/>
    </row>
    <row r="26" spans="1:24" ht="16.5" customHeight="1">
      <c r="A26" s="15" t="s">
        <v>180</v>
      </c>
      <c r="B26" s="94"/>
      <c r="C26" s="94"/>
      <c r="D26" s="94"/>
      <c r="E26" s="37">
        <f>N22</f>
        <v>795.57100000000003</v>
      </c>
      <c r="F26" s="106"/>
      <c r="G26" s="6">
        <f>SUM(G23:G25)</f>
        <v>11.997736803466001</v>
      </c>
      <c r="H26" s="13">
        <f>SUM(E26:G26)</f>
        <v>807.56873680346598</v>
      </c>
      <c r="I26" s="94"/>
      <c r="J26" s="6">
        <f>SUM(J23:J25)</f>
        <v>528.37971286427319</v>
      </c>
      <c r="K26" s="36">
        <f>M26-J26-L26</f>
        <v>-128.98759721216314</v>
      </c>
      <c r="L26" s="6">
        <f>SUM(L23:L25)</f>
        <v>139.971621151356</v>
      </c>
      <c r="M26" s="6">
        <f>H26-N26</f>
        <v>539.36373680346605</v>
      </c>
      <c r="N26" s="132">
        <v>268.20499999999998</v>
      </c>
    </row>
    <row r="27" spans="1:24" ht="16.5" customHeight="1">
      <c r="A27" s="15" t="s">
        <v>28</v>
      </c>
      <c r="B27" s="94"/>
      <c r="C27" s="94"/>
      <c r="D27" s="94"/>
      <c r="E27" s="37"/>
      <c r="F27" s="106"/>
      <c r="G27" s="131">
        <f>(667110.5*36.74371)/1000000</f>
        <v>24.512114749955</v>
      </c>
      <c r="H27" s="123"/>
      <c r="I27" s="124"/>
      <c r="J27" s="6">
        <f>SUM(J14,J18,J22,J26)</f>
        <v>2211.9384453555185</v>
      </c>
      <c r="K27" s="125"/>
      <c r="L27" s="6">
        <f>(54208355.3*36.74371)/1000000</f>
        <v>1991.816086720163</v>
      </c>
      <c r="M27" s="6"/>
      <c r="N27" s="13"/>
      <c r="Q27" s="99"/>
    </row>
    <row r="28" spans="1:24" ht="16.5" customHeight="1">
      <c r="A28" s="15"/>
      <c r="B28" s="94"/>
      <c r="C28" s="94"/>
      <c r="D28" s="94"/>
      <c r="E28" s="37"/>
      <c r="F28" s="37"/>
      <c r="G28" s="6"/>
      <c r="H28" s="13"/>
      <c r="I28" s="94"/>
      <c r="J28" s="13"/>
      <c r="K28" s="36"/>
      <c r="L28" s="6"/>
      <c r="M28" s="6"/>
      <c r="N28" s="13"/>
      <c r="R28" s="94"/>
    </row>
    <row r="29" spans="1:24" ht="16.5" customHeight="1">
      <c r="A29" s="35" t="s">
        <v>158</v>
      </c>
      <c r="B29" s="94"/>
      <c r="C29" s="94"/>
      <c r="D29" s="94"/>
      <c r="E29" s="37"/>
      <c r="F29" s="37"/>
      <c r="G29" s="6"/>
      <c r="H29" s="13"/>
      <c r="I29" s="94"/>
      <c r="J29" s="13"/>
      <c r="K29" s="36"/>
      <c r="L29" s="6"/>
      <c r="M29" s="6"/>
      <c r="N29" s="13"/>
      <c r="Q29" s="94"/>
      <c r="V29" s="128"/>
      <c r="X29" s="129"/>
    </row>
    <row r="30" spans="1:24" ht="16.5" customHeight="1">
      <c r="A30" s="15" t="s">
        <v>37</v>
      </c>
      <c r="B30" s="94"/>
      <c r="C30" s="94"/>
      <c r="D30" s="94"/>
      <c r="E30" s="37">
        <f>N26</f>
        <v>268.20499999999998</v>
      </c>
      <c r="F30" s="37"/>
      <c r="G30" s="6">
        <f>(37462.8*36.74371)/1000000</f>
        <v>1.3765222589880002</v>
      </c>
      <c r="H30" s="13"/>
      <c r="I30" s="94"/>
      <c r="J30" s="6">
        <f>((5242931*0.907185)*36.74371)/1000000</f>
        <v>174.76441502230665</v>
      </c>
      <c r="K30" s="36"/>
      <c r="L30" s="6">
        <f>(2471110*36.74371)/1000000</f>
        <v>90.797749218099995</v>
      </c>
      <c r="M30" s="6"/>
      <c r="N30" s="13"/>
      <c r="T30" s="127"/>
    </row>
    <row r="31" spans="1:24" ht="16.5" customHeight="1">
      <c r="A31" s="90" t="s">
        <v>53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91"/>
      <c r="M31" s="77"/>
      <c r="N31" s="77"/>
      <c r="T31" s="127"/>
    </row>
    <row r="32" spans="1:24" ht="16.5" customHeight="1">
      <c r="A32" s="15" t="s">
        <v>54</v>
      </c>
      <c r="B32" s="15"/>
      <c r="C32" s="15"/>
      <c r="D32" s="15"/>
      <c r="E32" s="40"/>
      <c r="F32" s="40"/>
      <c r="G32" s="40"/>
      <c r="H32" s="40"/>
      <c r="I32" s="40"/>
      <c r="J32" s="40"/>
      <c r="K32" s="40"/>
      <c r="L32" s="40"/>
      <c r="M32" s="40"/>
      <c r="N32" s="40"/>
      <c r="T32" s="127"/>
    </row>
    <row r="33" spans="1:20" ht="16.5" customHeight="1">
      <c r="A33" s="20" t="s">
        <v>55</v>
      </c>
      <c r="B33" s="41">
        <f>Contents!A16</f>
        <v>45244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T33" s="127"/>
    </row>
    <row r="34" spans="1:20" ht="16.5" customHeight="1">
      <c r="T34" s="127"/>
    </row>
    <row r="35" spans="1:20" ht="16.5" customHeight="1">
      <c r="T35" s="127"/>
    </row>
    <row r="36" spans="1:20" ht="16.5" customHeight="1">
      <c r="P36" s="39"/>
      <c r="T36" s="127"/>
    </row>
    <row r="37" spans="1:20" ht="16.5" customHeight="1">
      <c r="T37" s="127"/>
    </row>
    <row r="38" spans="1:20" ht="16.5" customHeight="1">
      <c r="J38" s="39"/>
      <c r="L38" s="39"/>
      <c r="T38" s="127"/>
    </row>
    <row r="39" spans="1:20" ht="16.5" customHeight="1">
      <c r="J39" s="39"/>
      <c r="L39" s="39"/>
      <c r="T39" s="127"/>
    </row>
    <row r="40" spans="1:20" ht="16.5" customHeight="1">
      <c r="J40" s="39"/>
      <c r="L40" s="39"/>
      <c r="T40" s="127"/>
    </row>
    <row r="41" spans="1:20" ht="16.5" customHeight="1">
      <c r="T41" s="127"/>
    </row>
    <row r="42" spans="1:20" ht="16.5" customHeight="1">
      <c r="T42" s="127"/>
    </row>
    <row r="43" spans="1:20" ht="16.5" customHeight="1">
      <c r="T43" s="127"/>
    </row>
    <row r="44" spans="1:20" ht="16.5" customHeight="1">
      <c r="T44" s="127"/>
    </row>
    <row r="45" spans="1:20" ht="16.5" customHeight="1"/>
    <row r="46" spans="1:20" ht="16.5" customHeight="1"/>
    <row r="47" spans="1:20" ht="16.5" customHeight="1"/>
    <row r="48" spans="1:20" ht="16.5" customHeight="1"/>
    <row r="49" spans="15:73" ht="16.5" customHeight="1">
      <c r="O49" s="94"/>
      <c r="P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</row>
    <row r="50" spans="15:73">
      <c r="O50" s="94"/>
      <c r="P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/>
      <c r="BR50" s="94"/>
      <c r="BS50" s="94"/>
      <c r="BT50" s="94"/>
      <c r="BU50" s="94"/>
    </row>
    <row r="51" spans="15:73">
      <c r="O51" s="94"/>
      <c r="P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</row>
    <row r="52" spans="15:73">
      <c r="O52" s="94"/>
      <c r="P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</row>
    <row r="53" spans="15:73">
      <c r="O53" s="94"/>
      <c r="P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</row>
    <row r="54" spans="15:73">
      <c r="O54" s="94"/>
      <c r="P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</row>
    <row r="55" spans="15:73">
      <c r="O55" s="94"/>
      <c r="P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</row>
    <row r="56" spans="15:73">
      <c r="O56" s="94"/>
      <c r="P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</row>
    <row r="57" spans="15:73">
      <c r="O57" s="94"/>
      <c r="P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</row>
    <row r="58" spans="15:73">
      <c r="O58" s="94"/>
      <c r="P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</row>
    <row r="59" spans="15:73">
      <c r="O59" s="94"/>
      <c r="P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94"/>
      <c r="BU59" s="94"/>
    </row>
    <row r="60" spans="15:73">
      <c r="O60" s="94"/>
      <c r="P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</row>
    <row r="61" spans="15:73">
      <c r="O61" s="94"/>
      <c r="P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</row>
    <row r="62" spans="15:73">
      <c r="O62" s="94"/>
      <c r="P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</row>
    <row r="63" spans="15:73">
      <c r="O63" s="94"/>
      <c r="P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</row>
    <row r="64" spans="15:73">
      <c r="O64" s="94"/>
      <c r="P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</row>
    <row r="65" spans="15:73">
      <c r="O65" s="94"/>
      <c r="P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</row>
    <row r="66" spans="15:73">
      <c r="O66" s="94"/>
      <c r="P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</row>
    <row r="67" spans="15:73">
      <c r="O67" s="94"/>
      <c r="P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</row>
    <row r="68" spans="15:73">
      <c r="O68" s="94"/>
      <c r="P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</row>
    <row r="69" spans="15:73">
      <c r="O69" s="94"/>
      <c r="P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</row>
    <row r="70" spans="15:73">
      <c r="O70" s="94"/>
      <c r="P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</row>
    <row r="71" spans="15:73">
      <c r="O71" s="94"/>
      <c r="P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</row>
    <row r="72" spans="15:73">
      <c r="O72" s="94"/>
      <c r="P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</row>
    <row r="73" spans="15:73">
      <c r="O73" s="94"/>
      <c r="P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</row>
    <row r="74" spans="15:73">
      <c r="O74" s="94"/>
      <c r="P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</row>
    <row r="75" spans="15:73">
      <c r="O75" s="94"/>
      <c r="P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</row>
    <row r="76" spans="15:73">
      <c r="O76" s="94"/>
      <c r="P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</row>
    <row r="77" spans="15:73"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</row>
    <row r="78" spans="15:73"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BM78" s="94"/>
      <c r="BN78" s="94"/>
      <c r="BO78" s="94"/>
      <c r="BP78" s="94"/>
      <c r="BQ78" s="94"/>
      <c r="BR78" s="94"/>
      <c r="BS78" s="94"/>
      <c r="BT78" s="94"/>
      <c r="BU78" s="94"/>
    </row>
    <row r="79" spans="15:73"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</row>
    <row r="80" spans="15:73"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</row>
    <row r="81" spans="15:73"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</row>
    <row r="82" spans="15:73"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</row>
    <row r="83" spans="15:73"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94"/>
      <c r="AC83" s="94"/>
      <c r="AD83" s="94"/>
      <c r="AE83" s="94"/>
      <c r="AF83" s="94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</row>
    <row r="84" spans="15:73"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</row>
    <row r="85" spans="15:73"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94"/>
      <c r="AW85" s="94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</row>
    <row r="86" spans="15:73"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</row>
    <row r="87" spans="15:73"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</row>
    <row r="88" spans="15:73"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94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</row>
    <row r="89" spans="15:73"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</row>
    <row r="90" spans="15:73"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94"/>
      <c r="AC90" s="94"/>
      <c r="AD90" s="94"/>
      <c r="AE90" s="94"/>
      <c r="AF90" s="94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</row>
    <row r="91" spans="15:73"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94"/>
      <c r="AC91" s="94"/>
      <c r="AD91" s="94"/>
      <c r="AE91" s="94"/>
      <c r="AF91" s="94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</row>
    <row r="92" spans="15:73"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</row>
    <row r="93" spans="15:73"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  <c r="AF93" s="94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94"/>
      <c r="AW93" s="94"/>
      <c r="AX93" s="94"/>
      <c r="AY93" s="94"/>
      <c r="AZ93" s="94"/>
      <c r="BA93" s="94"/>
      <c r="BB93" s="94"/>
      <c r="BC93" s="94"/>
      <c r="BD93" s="94"/>
      <c r="BE93" s="94"/>
      <c r="BF93" s="94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</row>
    <row r="94" spans="15:73"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94"/>
      <c r="BC94" s="94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</row>
    <row r="95" spans="15:73"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94"/>
      <c r="AW95" s="94"/>
      <c r="AX95" s="94"/>
      <c r="AY95" s="94"/>
      <c r="AZ95" s="94"/>
      <c r="BA95" s="94"/>
      <c r="BB95" s="94"/>
      <c r="BC95" s="94"/>
      <c r="BD95" s="94"/>
      <c r="BE95" s="94"/>
      <c r="BF95" s="94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</row>
    <row r="96" spans="15:73"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94"/>
      <c r="BU96" s="94"/>
    </row>
    <row r="97" spans="15:73"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</row>
    <row r="98" spans="15:73"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94"/>
      <c r="AW98" s="94"/>
      <c r="AX98" s="94"/>
      <c r="AY98" s="94"/>
      <c r="AZ98" s="94"/>
      <c r="BA98" s="94"/>
      <c r="BB98" s="94"/>
      <c r="BC98" s="94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</row>
    <row r="99" spans="15:73"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94"/>
      <c r="AW99" s="94"/>
      <c r="AX99" s="94"/>
      <c r="AY99" s="94"/>
      <c r="AZ99" s="94"/>
      <c r="BA99" s="94"/>
      <c r="BB99" s="94"/>
      <c r="BC99" s="94"/>
      <c r="BD99" s="94"/>
      <c r="BE99" s="94"/>
      <c r="BF99" s="94"/>
      <c r="BG99" s="94"/>
      <c r="BH99" s="94"/>
      <c r="BI99" s="94"/>
      <c r="BJ99" s="94"/>
      <c r="BK99" s="94"/>
      <c r="BL99" s="94"/>
      <c r="BM99" s="94"/>
      <c r="BN99" s="94"/>
      <c r="BO99" s="94"/>
      <c r="BP99" s="94"/>
      <c r="BQ99" s="94"/>
      <c r="BR99" s="94"/>
      <c r="BS99" s="94"/>
      <c r="BT99" s="94"/>
      <c r="BU99" s="94"/>
    </row>
    <row r="100" spans="15:73"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4"/>
      <c r="AD100" s="94"/>
      <c r="AE100" s="94"/>
      <c r="AF100" s="94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94"/>
      <c r="BC100" s="94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</row>
    <row r="101" spans="15:73"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</row>
    <row r="102" spans="15:73"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94"/>
      <c r="AC102" s="94"/>
      <c r="AD102" s="94"/>
      <c r="AE102" s="94"/>
      <c r="AF102" s="94"/>
      <c r="AG102" s="94"/>
      <c r="AH102" s="94"/>
      <c r="AI102" s="94"/>
      <c r="AJ102" s="94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</row>
    <row r="103" spans="15:73"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  <c r="AF103" s="94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</row>
    <row r="104" spans="15:73"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94"/>
      <c r="AW104" s="94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</row>
    <row r="105" spans="15:73"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</row>
    <row r="106" spans="15:73"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94"/>
      <c r="AC106" s="94"/>
      <c r="AD106" s="94"/>
      <c r="AE106" s="94"/>
      <c r="AF106" s="94"/>
      <c r="AG106" s="94"/>
      <c r="AH106" s="94"/>
      <c r="AI106" s="94"/>
      <c r="AJ106" s="94"/>
      <c r="AK106" s="94"/>
      <c r="AL106" s="94"/>
      <c r="AM106" s="94"/>
      <c r="AN106" s="94"/>
      <c r="AO106" s="94"/>
      <c r="AP106" s="94"/>
      <c r="AQ106" s="94"/>
      <c r="AR106" s="94"/>
      <c r="AS106" s="94"/>
      <c r="AT106" s="94"/>
      <c r="AU106" s="94"/>
      <c r="AV106" s="94"/>
      <c r="AW106" s="94"/>
      <c r="AX106" s="94"/>
      <c r="AY106" s="94"/>
      <c r="AZ106" s="94"/>
      <c r="BA106" s="94"/>
      <c r="BB106" s="94"/>
      <c r="BC106" s="94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</row>
    <row r="107" spans="15:73"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94"/>
      <c r="AC107" s="94"/>
      <c r="AD107" s="94"/>
      <c r="AE107" s="94"/>
      <c r="AF107" s="94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</row>
    <row r="108" spans="15:73"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</row>
    <row r="109" spans="15:73"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</row>
    <row r="110" spans="15:73"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94"/>
      <c r="BC110" s="94"/>
      <c r="BD110" s="94"/>
      <c r="BE110" s="94"/>
      <c r="BF110" s="94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94"/>
      <c r="BR110" s="94"/>
      <c r="BS110" s="94"/>
      <c r="BT110" s="94"/>
      <c r="BU110" s="94"/>
    </row>
    <row r="111" spans="15:73"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</row>
    <row r="112" spans="15:73"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94"/>
      <c r="AW112" s="94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94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</row>
    <row r="113" spans="15:73"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</row>
    <row r="114" spans="15:73"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94"/>
      <c r="BC114" s="94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</row>
    <row r="115" spans="15:73"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</row>
    <row r="116" spans="15:73"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</row>
    <row r="117" spans="15:73"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  <c r="AF117" s="94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</row>
    <row r="118" spans="15:73"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  <c r="AF118" s="94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</row>
    <row r="119" spans="15:73"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94"/>
      <c r="BC119" s="94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</row>
    <row r="120" spans="15:73"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  <c r="AF120" s="94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</row>
    <row r="121" spans="15:73"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</row>
    <row r="122" spans="15:73"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94"/>
      <c r="AW122" s="94"/>
      <c r="AX122" s="94"/>
      <c r="AY122" s="94"/>
      <c r="AZ122" s="94"/>
      <c r="BA122" s="94"/>
      <c r="BB122" s="94"/>
      <c r="BC122" s="94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</row>
    <row r="123" spans="15:73"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</row>
    <row r="124" spans="15:73"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94"/>
      <c r="BC124" s="94"/>
      <c r="BD124" s="94"/>
      <c r="BE124" s="94"/>
      <c r="BF124" s="94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</row>
    <row r="125" spans="15:73"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94"/>
      <c r="BC125" s="94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</row>
    <row r="126" spans="15:73"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94"/>
      <c r="AC126" s="94"/>
      <c r="AD126" s="94"/>
      <c r="AE126" s="94"/>
      <c r="AF126" s="94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</row>
    <row r="127" spans="15:73"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  <c r="AF127" s="94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94"/>
      <c r="AW127" s="94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94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</row>
    <row r="128" spans="15:73"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94"/>
      <c r="AW128" s="94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</row>
    <row r="129" spans="15:73"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</row>
    <row r="130" spans="15:73"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94"/>
      <c r="AC130" s="94"/>
      <c r="AD130" s="94"/>
      <c r="AE130" s="94"/>
      <c r="AF130" s="94"/>
      <c r="AG130" s="94"/>
      <c r="AH130" s="94"/>
      <c r="AI130" s="94"/>
      <c r="AJ130" s="94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94"/>
      <c r="AW130" s="94"/>
      <c r="AX130" s="94"/>
      <c r="AY130" s="94"/>
      <c r="AZ130" s="94"/>
      <c r="BA130" s="94"/>
      <c r="BB130" s="94"/>
      <c r="BC130" s="94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</row>
    <row r="131" spans="15:73"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</row>
    <row r="132" spans="15:73"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94"/>
      <c r="AC132" s="94"/>
      <c r="AD132" s="94"/>
      <c r="AE132" s="94"/>
      <c r="AF132" s="94"/>
      <c r="AG132" s="94"/>
      <c r="AH132" s="94"/>
      <c r="AI132" s="94"/>
      <c r="AJ132" s="94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</row>
    <row r="133" spans="15:73"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94"/>
      <c r="AC133" s="94"/>
      <c r="AD133" s="94"/>
      <c r="AE133" s="94"/>
      <c r="AF133" s="94"/>
      <c r="AG133" s="94"/>
      <c r="AH133" s="94"/>
      <c r="AI133" s="94"/>
      <c r="AJ133" s="94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94"/>
      <c r="BC133" s="94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</row>
    <row r="134" spans="15:73"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94"/>
      <c r="AW134" s="94"/>
      <c r="AX134" s="94"/>
      <c r="AY134" s="94"/>
      <c r="AZ134" s="94"/>
      <c r="BA134" s="94"/>
      <c r="BB134" s="94"/>
      <c r="BC134" s="94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</row>
    <row r="135" spans="15:73"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</row>
    <row r="136" spans="15:73"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94"/>
      <c r="AW136" s="94"/>
      <c r="AX136" s="94"/>
      <c r="AY136" s="94"/>
      <c r="AZ136" s="94"/>
      <c r="BA136" s="94"/>
      <c r="BB136" s="94"/>
      <c r="BC136" s="94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</row>
    <row r="137" spans="15:73"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</row>
    <row r="138" spans="15:73"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</row>
    <row r="139" spans="15:73"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</row>
    <row r="140" spans="15:73"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94"/>
      <c r="AC140" s="94"/>
      <c r="AD140" s="94"/>
      <c r="AE140" s="94"/>
      <c r="AF140" s="94"/>
      <c r="AG140" s="94"/>
      <c r="AH140" s="94"/>
      <c r="AI140" s="94"/>
      <c r="AJ140" s="94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94"/>
      <c r="AW140" s="94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</row>
    <row r="141" spans="15:73"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94"/>
      <c r="AC141" s="94"/>
      <c r="AD141" s="94"/>
      <c r="AE141" s="94"/>
      <c r="AF141" s="94"/>
      <c r="AG141" s="94"/>
      <c r="AH141" s="94"/>
      <c r="AI141" s="94"/>
      <c r="AJ141" s="94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</row>
    <row r="142" spans="15:73"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94"/>
      <c r="AC142" s="94"/>
      <c r="AD142" s="94"/>
      <c r="AE142" s="94"/>
      <c r="AF142" s="94"/>
      <c r="AG142" s="94"/>
      <c r="AH142" s="94"/>
      <c r="AI142" s="94"/>
      <c r="AJ142" s="94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</row>
    <row r="143" spans="15:73"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94"/>
      <c r="AD143" s="94"/>
      <c r="AE143" s="94"/>
      <c r="AF143" s="94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</row>
    <row r="144" spans="15:73"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94"/>
      <c r="AC144" s="94"/>
      <c r="AD144" s="94"/>
      <c r="AE144" s="94"/>
      <c r="AF144" s="94"/>
      <c r="AG144" s="94"/>
      <c r="AH144" s="94"/>
      <c r="AI144" s="94"/>
      <c r="AJ144" s="94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94"/>
      <c r="BF144" s="94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</row>
    <row r="145" spans="15:73"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94"/>
      <c r="AC145" s="94"/>
      <c r="AD145" s="94"/>
      <c r="AE145" s="94"/>
      <c r="AF145" s="94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</row>
    <row r="146" spans="15:73"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94"/>
      <c r="AC146" s="94"/>
      <c r="AD146" s="94"/>
      <c r="AE146" s="94"/>
      <c r="AF146" s="94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94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</row>
    <row r="147" spans="15:73"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</row>
    <row r="148" spans="15:73"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</row>
    <row r="149" spans="15:73"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94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</row>
    <row r="150" spans="15:73"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94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</row>
    <row r="151" spans="15:73"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</row>
    <row r="152" spans="15:73"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</row>
    <row r="153" spans="15:73"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94"/>
      <c r="AC153" s="94"/>
      <c r="AD153" s="94"/>
      <c r="AE153" s="94"/>
      <c r="AF153" s="94"/>
      <c r="AG153" s="94"/>
      <c r="AH153" s="94"/>
      <c r="AI153" s="94"/>
      <c r="AJ153" s="94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</row>
    <row r="154" spans="15:73"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94"/>
      <c r="AC154" s="94"/>
      <c r="AD154" s="94"/>
      <c r="AE154" s="94"/>
      <c r="AF154" s="94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</row>
    <row r="155" spans="15:73"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</row>
    <row r="156" spans="15:73"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94"/>
      <c r="AC156" s="94"/>
      <c r="AD156" s="94"/>
      <c r="AE156" s="94"/>
      <c r="AF156" s="94"/>
      <c r="AG156" s="94"/>
      <c r="AH156" s="94"/>
      <c r="AI156" s="94"/>
      <c r="AJ156" s="94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</row>
    <row r="157" spans="15:73"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</row>
    <row r="158" spans="15:73"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94"/>
      <c r="AC158" s="94"/>
      <c r="AD158" s="94"/>
      <c r="AE158" s="94"/>
      <c r="AF158" s="94"/>
      <c r="AG158" s="94"/>
      <c r="AH158" s="94"/>
      <c r="AI158" s="94"/>
      <c r="AJ158" s="94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94"/>
      <c r="BC158" s="94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</row>
    <row r="159" spans="15:73"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  <c r="AF159" s="94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</row>
    <row r="160" spans="15:73"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94"/>
      <c r="AC160" s="94"/>
      <c r="AD160" s="94"/>
      <c r="AE160" s="94"/>
      <c r="AF160" s="94"/>
      <c r="AG160" s="94"/>
      <c r="AH160" s="94"/>
      <c r="AI160" s="94"/>
      <c r="AJ160" s="94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</row>
    <row r="161" spans="15:73"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94"/>
      <c r="AC161" s="94"/>
      <c r="AD161" s="94"/>
      <c r="AE161" s="94"/>
      <c r="AF161" s="94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</row>
    <row r="162" spans="15:73"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94"/>
      <c r="AC162" s="94"/>
      <c r="AD162" s="94"/>
      <c r="AE162" s="94"/>
      <c r="AF162" s="94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94"/>
      <c r="AW162" s="94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</row>
    <row r="163" spans="15:73"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</row>
    <row r="164" spans="15:73"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94"/>
      <c r="AC164" s="94"/>
      <c r="AD164" s="94"/>
      <c r="AE164" s="94"/>
      <c r="AF164" s="94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94"/>
      <c r="BC164" s="94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</row>
    <row r="165" spans="15:73"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94"/>
      <c r="AC165" s="94"/>
      <c r="AD165" s="94"/>
      <c r="AE165" s="94"/>
      <c r="AF165" s="94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</row>
    <row r="166" spans="15:73"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94"/>
      <c r="AC166" s="94"/>
      <c r="AD166" s="94"/>
      <c r="AE166" s="94"/>
      <c r="AF166" s="94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</row>
    <row r="167" spans="15:73"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94"/>
      <c r="AC167" s="94"/>
      <c r="AD167" s="94"/>
      <c r="AE167" s="94"/>
      <c r="AF167" s="94"/>
      <c r="AG167" s="94"/>
      <c r="AH167" s="94"/>
      <c r="AI167" s="94"/>
      <c r="AJ167" s="94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</row>
    <row r="168" spans="15:73"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</row>
    <row r="169" spans="15:73"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94"/>
      <c r="AI169" s="94"/>
      <c r="AJ169" s="94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</row>
    <row r="170" spans="15:73"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94"/>
      <c r="AW170" s="94"/>
      <c r="AX170" s="94"/>
      <c r="AY170" s="94"/>
      <c r="AZ170" s="94"/>
      <c r="BA170" s="94"/>
      <c r="BB170" s="94"/>
      <c r="BC170" s="94"/>
      <c r="BD170" s="94"/>
      <c r="BE170" s="94"/>
      <c r="BF170" s="94"/>
      <c r="BG170" s="94"/>
      <c r="BH170" s="94"/>
      <c r="BI170" s="94"/>
      <c r="BJ170" s="94"/>
      <c r="BK170" s="94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</row>
    <row r="171" spans="15:73"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94"/>
      <c r="BF171" s="94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</row>
    <row r="172" spans="15:73"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</row>
    <row r="173" spans="15:73"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94"/>
      <c r="AC173" s="94"/>
      <c r="AD173" s="94"/>
      <c r="AE173" s="94"/>
      <c r="AF173" s="94"/>
      <c r="AG173" s="94"/>
      <c r="AH173" s="94"/>
      <c r="AI173" s="94"/>
      <c r="AJ173" s="94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94"/>
      <c r="BO173" s="94"/>
      <c r="BP173" s="94"/>
      <c r="BQ173" s="94"/>
      <c r="BR173" s="94"/>
      <c r="BS173" s="94"/>
      <c r="BT173" s="94"/>
      <c r="BU173" s="94"/>
    </row>
    <row r="174" spans="15:73"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94"/>
      <c r="AC174" s="94"/>
      <c r="AD174" s="94"/>
      <c r="AE174" s="94"/>
      <c r="AF174" s="94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</row>
    <row r="175" spans="15:73"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94"/>
      <c r="AC175" s="94"/>
      <c r="AD175" s="94"/>
      <c r="AE175" s="94"/>
      <c r="AF175" s="94"/>
      <c r="AG175" s="94"/>
      <c r="AH175" s="94"/>
      <c r="AI175" s="94"/>
      <c r="AJ175" s="94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94"/>
      <c r="AW175" s="94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</row>
    <row r="176" spans="15:73"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94"/>
      <c r="AC176" s="94"/>
      <c r="AD176" s="94"/>
      <c r="AE176" s="94"/>
      <c r="AF176" s="94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94"/>
      <c r="BC176" s="94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</row>
    <row r="177" spans="15:73"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</row>
    <row r="178" spans="15:73"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94"/>
      <c r="AC178" s="94"/>
      <c r="AD178" s="94"/>
      <c r="AE178" s="94"/>
      <c r="AF178" s="94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94"/>
      <c r="BC178" s="94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</row>
    <row r="179" spans="15:73"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94"/>
      <c r="AC179" s="94"/>
      <c r="AD179" s="94"/>
      <c r="AE179" s="94"/>
      <c r="AF179" s="94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94"/>
      <c r="BC179" s="94"/>
      <c r="BD179" s="94"/>
      <c r="BE179" s="94"/>
      <c r="BF179" s="94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</row>
    <row r="180" spans="15:73"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94"/>
      <c r="AC180" s="94"/>
      <c r="AD180" s="94"/>
      <c r="AE180" s="94"/>
      <c r="AF180" s="94"/>
      <c r="AG180" s="94"/>
      <c r="AH180" s="94"/>
      <c r="AI180" s="94"/>
      <c r="AJ180" s="94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</row>
    <row r="181" spans="15:73"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</row>
    <row r="182" spans="15:73"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</row>
    <row r="183" spans="15:73"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</row>
    <row r="184" spans="15:73"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</row>
    <row r="185" spans="15:73"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</row>
    <row r="186" spans="15:73"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</row>
    <row r="187" spans="15:73"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</row>
    <row r="188" spans="15:73"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</row>
    <row r="189" spans="15:73"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</row>
    <row r="190" spans="15:73"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</row>
    <row r="191" spans="15:73"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</row>
    <row r="192" spans="15:73"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</row>
    <row r="193" spans="15:73"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</row>
    <row r="194" spans="15:73"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</row>
    <row r="195" spans="15:73"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</row>
    <row r="196" spans="15:73"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</row>
    <row r="197" spans="15:73"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</row>
    <row r="198" spans="15:73"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</row>
    <row r="199" spans="15:73"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</row>
    <row r="200" spans="15:73"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</row>
    <row r="201" spans="15:73"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</row>
    <row r="202" spans="15:73"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</row>
    <row r="203" spans="15:73"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</row>
    <row r="204" spans="15:73"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</row>
    <row r="205" spans="15:73"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</row>
    <row r="206" spans="15:73"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</row>
    <row r="207" spans="15:73"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</row>
    <row r="208" spans="15:73"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</row>
    <row r="209" spans="15:73"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</row>
    <row r="210" spans="15:73"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</row>
    <row r="211" spans="15:73"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</row>
    <row r="212" spans="15:73"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</row>
    <row r="213" spans="15:73"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</row>
    <row r="214" spans="15:73"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</row>
    <row r="215" spans="15:73"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</row>
    <row r="216" spans="15:73"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</row>
    <row r="217" spans="15:73"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</row>
    <row r="218" spans="15:73"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</row>
    <row r="219" spans="15:73"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</row>
    <row r="220" spans="15:73"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</row>
    <row r="221" spans="15:73"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</row>
    <row r="222" spans="15:73"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</row>
    <row r="223" spans="15:73"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</row>
    <row r="224" spans="15:73"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</row>
    <row r="225" spans="15:73"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</row>
    <row r="226" spans="15:73"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</row>
    <row r="227" spans="15:73"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</row>
    <row r="228" spans="15:73"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</row>
    <row r="229" spans="15:73"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</row>
    <row r="230" spans="15:73"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94"/>
      <c r="AC230" s="94"/>
      <c r="AD230" s="94"/>
      <c r="AE230" s="94"/>
      <c r="AF230" s="94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</row>
    <row r="231" spans="15:73"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94"/>
      <c r="AC231" s="94"/>
      <c r="AD231" s="94"/>
      <c r="AE231" s="94"/>
      <c r="AF231" s="94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</row>
    <row r="232" spans="15:73"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94"/>
      <c r="AC232" s="94"/>
      <c r="AD232" s="94"/>
      <c r="AE232" s="94"/>
      <c r="AF232" s="94"/>
      <c r="AG232" s="94"/>
      <c r="AH232" s="94"/>
      <c r="AI232" s="94"/>
      <c r="AJ232" s="94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</row>
    <row r="233" spans="15:73"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94"/>
      <c r="AC233" s="94"/>
      <c r="AD233" s="94"/>
      <c r="AE233" s="94"/>
      <c r="AF233" s="94"/>
      <c r="AG233" s="94"/>
      <c r="AH233" s="94"/>
      <c r="AI233" s="94"/>
      <c r="AJ233" s="94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</row>
    <row r="234" spans="15:73"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94"/>
      <c r="AC234" s="94"/>
      <c r="AD234" s="94"/>
      <c r="AE234" s="94"/>
      <c r="AF234" s="94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</row>
    <row r="235" spans="15:73"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94"/>
      <c r="AC235" s="94"/>
      <c r="AD235" s="94"/>
      <c r="AE235" s="94"/>
      <c r="AF235" s="94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</row>
    <row r="236" spans="15:73"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94"/>
      <c r="AC236" s="94"/>
      <c r="AD236" s="94"/>
      <c r="AE236" s="94"/>
      <c r="AF236" s="94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</row>
    <row r="237" spans="15:73"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</row>
    <row r="238" spans="15:73"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</row>
    <row r="239" spans="15:73"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</row>
    <row r="240" spans="15:73"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</row>
    <row r="241" spans="15:73"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</row>
    <row r="242" spans="15:73"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94"/>
      <c r="AC242" s="94"/>
      <c r="AD242" s="94"/>
      <c r="AE242" s="94"/>
      <c r="AF242" s="94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94"/>
      <c r="BC242" s="94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</row>
    <row r="243" spans="15:73"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94"/>
      <c r="AC243" s="94"/>
      <c r="AD243" s="94"/>
      <c r="AE243" s="94"/>
      <c r="AF243" s="94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94"/>
      <c r="BC243" s="94"/>
      <c r="BD243" s="94"/>
      <c r="BE243" s="94"/>
      <c r="BF243" s="94"/>
      <c r="BG243" s="94"/>
      <c r="BH243" s="94"/>
      <c r="BI243" s="94"/>
      <c r="BJ243" s="94"/>
      <c r="BK243" s="94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</row>
    <row r="244" spans="15:73"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94"/>
      <c r="AC244" s="94"/>
      <c r="AD244" s="94"/>
      <c r="AE244" s="94"/>
      <c r="AF244" s="94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</row>
    <row r="245" spans="15:73"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</row>
    <row r="246" spans="15:73"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94"/>
      <c r="AC246" s="94"/>
      <c r="AD246" s="94"/>
      <c r="AE246" s="94"/>
      <c r="AF246" s="94"/>
      <c r="AG246" s="94"/>
      <c r="AH246" s="94"/>
      <c r="AI246" s="94"/>
      <c r="AJ246" s="94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94"/>
      <c r="BF246" s="94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</row>
    <row r="247" spans="15:73"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94"/>
      <c r="AC247" s="94"/>
      <c r="AD247" s="94"/>
      <c r="AE247" s="94"/>
      <c r="AF247" s="94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</row>
    <row r="248" spans="15:73"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94"/>
      <c r="AC248" s="94"/>
      <c r="AD248" s="94"/>
      <c r="AE248" s="94"/>
      <c r="AF248" s="94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</row>
    <row r="249" spans="15:73"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94"/>
      <c r="AC249" s="94"/>
      <c r="AD249" s="94"/>
      <c r="AE249" s="94"/>
      <c r="AF249" s="94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</row>
    <row r="250" spans="15:73"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94"/>
      <c r="AC250" s="94"/>
      <c r="AD250" s="94"/>
      <c r="AE250" s="94"/>
      <c r="AF250" s="94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</row>
    <row r="251" spans="15:73"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94"/>
      <c r="AC251" s="94"/>
      <c r="AD251" s="94"/>
      <c r="AE251" s="94"/>
      <c r="AF251" s="94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94"/>
      <c r="AW251" s="94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</row>
    <row r="252" spans="15:73"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94"/>
      <c r="AC252" s="94"/>
      <c r="AD252" s="94"/>
      <c r="AE252" s="94"/>
      <c r="AF252" s="94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</row>
    <row r="253" spans="15:73"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</row>
    <row r="254" spans="15:73"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94"/>
      <c r="AC254" s="94"/>
      <c r="AD254" s="94"/>
      <c r="AE254" s="94"/>
      <c r="AF254" s="94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</row>
    <row r="255" spans="15:73"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94"/>
      <c r="AC255" s="94"/>
      <c r="AD255" s="94"/>
      <c r="AE255" s="94"/>
      <c r="AF255" s="94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94"/>
      <c r="AW255" s="94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</row>
    <row r="256" spans="15:73"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94"/>
      <c r="AC256" s="94"/>
      <c r="AD256" s="94"/>
      <c r="AE256" s="94"/>
      <c r="AF256" s="94"/>
      <c r="AG256" s="94"/>
      <c r="AH256" s="94"/>
      <c r="AI256" s="94"/>
      <c r="AJ256" s="94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</row>
    <row r="257" spans="15:73"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94"/>
      <c r="AC257" s="94"/>
      <c r="AD257" s="94"/>
      <c r="AE257" s="94"/>
      <c r="AF257" s="94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</row>
    <row r="258" spans="15:73"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94"/>
      <c r="AC258" s="94"/>
      <c r="AD258" s="94"/>
      <c r="AE258" s="94"/>
      <c r="AF258" s="94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</row>
    <row r="259" spans="15:73"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94"/>
      <c r="AC259" s="94"/>
      <c r="AD259" s="94"/>
      <c r="AE259" s="94"/>
      <c r="AF259" s="94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</row>
    <row r="260" spans="15:73"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94"/>
      <c r="AC260" s="94"/>
      <c r="AD260" s="94"/>
      <c r="AE260" s="94"/>
      <c r="AF260" s="94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</row>
    <row r="261" spans="15:73"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94"/>
      <c r="AC261" s="94"/>
      <c r="AD261" s="94"/>
      <c r="AE261" s="94"/>
      <c r="AF261" s="94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</row>
    <row r="262" spans="15:73"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94"/>
      <c r="AC262" s="94"/>
      <c r="AD262" s="94"/>
      <c r="AE262" s="94"/>
      <c r="AF262" s="94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</row>
    <row r="263" spans="15:73"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94"/>
      <c r="AC263" s="94"/>
      <c r="AD263" s="94"/>
      <c r="AE263" s="94"/>
      <c r="AF263" s="94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</row>
    <row r="264" spans="15:73"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94"/>
      <c r="AC264" s="94"/>
      <c r="AD264" s="94"/>
      <c r="AE264" s="94"/>
      <c r="AF264" s="94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94"/>
      <c r="AW264" s="94"/>
      <c r="AX264" s="94"/>
      <c r="AY264" s="94"/>
      <c r="AZ264" s="94"/>
      <c r="BA264" s="94"/>
      <c r="BB264" s="94"/>
      <c r="BC264" s="94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</row>
    <row r="265" spans="15:73"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94"/>
      <c r="AC265" s="94"/>
      <c r="AD265" s="94"/>
      <c r="AE265" s="94"/>
      <c r="AF265" s="94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94"/>
      <c r="BC265" s="94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</row>
    <row r="266" spans="15:73"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94"/>
      <c r="AC266" s="94"/>
      <c r="AD266" s="94"/>
      <c r="AE266" s="94"/>
      <c r="AF266" s="94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94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</row>
    <row r="267" spans="15:73"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94"/>
      <c r="AC267" s="94"/>
      <c r="AD267" s="94"/>
      <c r="AE267" s="94"/>
      <c r="AF267" s="94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94"/>
      <c r="AW267" s="94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</row>
    <row r="268" spans="15:73"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94"/>
      <c r="AC268" s="94"/>
      <c r="AD268" s="94"/>
      <c r="AE268" s="94"/>
      <c r="AF268" s="94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94"/>
      <c r="BC268" s="94"/>
      <c r="BD268" s="94"/>
      <c r="BE268" s="94"/>
      <c r="BF268" s="94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</row>
    <row r="269" spans="15:73"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94"/>
      <c r="AC269" s="94"/>
      <c r="AD269" s="94"/>
      <c r="AE269" s="94"/>
      <c r="AF269" s="94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</row>
    <row r="270" spans="15:73"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94"/>
      <c r="AC270" s="94"/>
      <c r="AD270" s="94"/>
      <c r="AE270" s="94"/>
      <c r="AF270" s="94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</row>
    <row r="271" spans="15:73"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94"/>
      <c r="AC271" s="94"/>
      <c r="AD271" s="94"/>
      <c r="AE271" s="94"/>
      <c r="AF271" s="94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</row>
    <row r="272" spans="15:73"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94"/>
      <c r="AC272" s="94"/>
      <c r="AD272" s="94"/>
      <c r="AE272" s="94"/>
      <c r="AF272" s="94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</row>
    <row r="273" spans="15:73"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94"/>
      <c r="AC273" s="94"/>
      <c r="AD273" s="94"/>
      <c r="AE273" s="94"/>
      <c r="AF273" s="94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</row>
    <row r="274" spans="15:73"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94"/>
      <c r="AC274" s="94"/>
      <c r="AD274" s="94"/>
      <c r="AE274" s="94"/>
      <c r="AF274" s="94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94"/>
      <c r="AW274" s="94"/>
      <c r="AX274" s="94"/>
      <c r="AY274" s="94"/>
      <c r="AZ274" s="94"/>
      <c r="BA274" s="94"/>
      <c r="BB274" s="94"/>
      <c r="BC274" s="94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</row>
    <row r="275" spans="15:73"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94"/>
      <c r="AC275" s="94"/>
      <c r="AD275" s="94"/>
      <c r="AE275" s="94"/>
      <c r="AF275" s="94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</row>
    <row r="276" spans="15:73"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</row>
    <row r="277" spans="15:73"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</row>
    <row r="278" spans="15:73"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</row>
    <row r="279" spans="15:73"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94"/>
      <c r="AC279" s="94"/>
      <c r="AD279" s="94"/>
      <c r="AE279" s="94"/>
      <c r="AF279" s="94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</row>
    <row r="280" spans="15:73"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94"/>
      <c r="AC280" s="94"/>
      <c r="AD280" s="94"/>
      <c r="AE280" s="94"/>
      <c r="AF280" s="94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94"/>
      <c r="AW280" s="94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</row>
    <row r="281" spans="15:73"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94"/>
      <c r="AC281" s="94"/>
      <c r="AD281" s="94"/>
      <c r="AE281" s="94"/>
      <c r="AF281" s="94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94"/>
      <c r="AW281" s="94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</row>
    <row r="282" spans="15:73"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94"/>
      <c r="AC282" s="94"/>
      <c r="AD282" s="94"/>
      <c r="AE282" s="94"/>
      <c r="AF282" s="94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94"/>
      <c r="AW282" s="94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</row>
    <row r="283" spans="15:73"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</row>
    <row r="284" spans="15:73"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</row>
    <row r="285" spans="15:73"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94"/>
      <c r="AC285" s="94"/>
      <c r="AD285" s="94"/>
      <c r="AE285" s="94"/>
      <c r="AF285" s="94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</row>
    <row r="286" spans="15:73"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94"/>
      <c r="AC286" s="94"/>
      <c r="AD286" s="94"/>
      <c r="AE286" s="94"/>
      <c r="AF286" s="94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94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</row>
    <row r="287" spans="15:73"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94"/>
      <c r="AC287" s="94"/>
      <c r="AD287" s="94"/>
      <c r="AE287" s="94"/>
      <c r="AF287" s="94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94"/>
      <c r="BC287" s="94"/>
      <c r="BD287" s="94"/>
      <c r="BE287" s="94"/>
      <c r="BF287" s="94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</row>
    <row r="288" spans="15:73"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94"/>
      <c r="AC288" s="94"/>
      <c r="AD288" s="94"/>
      <c r="AE288" s="94"/>
      <c r="AF288" s="94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</row>
    <row r="289" spans="15:73"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94"/>
      <c r="AC289" s="94"/>
      <c r="AD289" s="94"/>
      <c r="AE289" s="94"/>
      <c r="AF289" s="94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</row>
    <row r="290" spans="15:73"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94"/>
      <c r="AC290" s="94"/>
      <c r="AD290" s="94"/>
      <c r="AE290" s="94"/>
      <c r="AF290" s="94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94"/>
      <c r="AW290" s="94"/>
      <c r="AX290" s="94"/>
      <c r="AY290" s="94"/>
      <c r="AZ290" s="94"/>
      <c r="BA290" s="94"/>
      <c r="BB290" s="94"/>
      <c r="BC290" s="94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</row>
    <row r="291" spans="15:73"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</row>
    <row r="292" spans="15:73"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94"/>
      <c r="AC292" s="94"/>
      <c r="AD292" s="94"/>
      <c r="AE292" s="94"/>
      <c r="AF292" s="94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</row>
    <row r="293" spans="15:73"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94"/>
      <c r="AC293" s="94"/>
      <c r="AD293" s="94"/>
      <c r="AE293" s="94"/>
      <c r="AF293" s="94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94"/>
      <c r="BC293" s="94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</row>
    <row r="294" spans="15:73"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94"/>
      <c r="AC294" s="94"/>
      <c r="AD294" s="94"/>
      <c r="AE294" s="94"/>
      <c r="AF294" s="94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</row>
    <row r="295" spans="15:73"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94"/>
      <c r="AC295" s="94"/>
      <c r="AD295" s="94"/>
      <c r="AE295" s="94"/>
      <c r="AF295" s="94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</row>
    <row r="296" spans="15:73"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94"/>
      <c r="AC296" s="94"/>
      <c r="AD296" s="94"/>
      <c r="AE296" s="94"/>
      <c r="AF296" s="94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94"/>
      <c r="AW296" s="94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</row>
    <row r="297" spans="15:73"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94"/>
      <c r="AC297" s="94"/>
      <c r="AD297" s="94"/>
      <c r="AE297" s="94"/>
      <c r="AF297" s="94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</row>
    <row r="298" spans="15:73"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94"/>
      <c r="AC298" s="94"/>
      <c r="AD298" s="94"/>
      <c r="AE298" s="94"/>
      <c r="AF298" s="94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</row>
    <row r="299" spans="15:73"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</row>
    <row r="300" spans="15:73"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94"/>
      <c r="AC300" s="94"/>
      <c r="AD300" s="94"/>
      <c r="AE300" s="94"/>
      <c r="AF300" s="94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94"/>
      <c r="BC300" s="94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</row>
    <row r="301" spans="15:73"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94"/>
      <c r="AC301" s="94"/>
      <c r="AD301" s="94"/>
      <c r="AE301" s="94"/>
      <c r="AF301" s="94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94"/>
      <c r="BC301" s="94"/>
      <c r="BD301" s="94"/>
      <c r="BE301" s="94"/>
      <c r="BF301" s="94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</row>
    <row r="302" spans="15:73"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94"/>
      <c r="AC302" s="94"/>
      <c r="AD302" s="94"/>
      <c r="AE302" s="94"/>
      <c r="AF302" s="94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94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</row>
    <row r="303" spans="15:73"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94"/>
      <c r="AC303" s="94"/>
      <c r="AD303" s="94"/>
      <c r="AE303" s="94"/>
      <c r="AF303" s="94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94"/>
      <c r="BC303" s="94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</row>
    <row r="304" spans="15:73"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94"/>
      <c r="AC304" s="94"/>
      <c r="AD304" s="94"/>
      <c r="AE304" s="94"/>
      <c r="AF304" s="94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</row>
    <row r="305" spans="15:73"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</row>
    <row r="306" spans="15:73"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</row>
    <row r="307" spans="15:73"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</row>
    <row r="308" spans="15:73"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</row>
    <row r="309" spans="15:73"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</row>
    <row r="310" spans="15:73"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94"/>
      <c r="AC310" s="94"/>
      <c r="AD310" s="94"/>
      <c r="AE310" s="94"/>
      <c r="AF310" s="94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</row>
    <row r="311" spans="15:73"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94"/>
      <c r="AC311" s="94"/>
      <c r="AD311" s="94"/>
      <c r="AE311" s="94"/>
      <c r="AF311" s="94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</row>
    <row r="312" spans="15:73"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94"/>
      <c r="AC312" s="94"/>
      <c r="AD312" s="94"/>
      <c r="AE312" s="94"/>
      <c r="AF312" s="94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</row>
    <row r="313" spans="15:73"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94"/>
      <c r="AC313" s="94"/>
      <c r="AD313" s="94"/>
      <c r="AE313" s="94"/>
      <c r="AF313" s="94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</row>
    <row r="314" spans="15:73"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94"/>
      <c r="AC314" s="94"/>
      <c r="AD314" s="94"/>
      <c r="AE314" s="94"/>
      <c r="AF314" s="94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</row>
    <row r="315" spans="15:73"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</row>
    <row r="316" spans="15:73"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94"/>
      <c r="AC316" s="94"/>
      <c r="AD316" s="94"/>
      <c r="AE316" s="94"/>
      <c r="AF316" s="94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</row>
    <row r="317" spans="15:73"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94"/>
      <c r="AC317" s="94"/>
      <c r="AD317" s="94"/>
      <c r="AE317" s="94"/>
      <c r="AF317" s="94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</row>
    <row r="318" spans="15:73"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94"/>
      <c r="AC318" s="94"/>
      <c r="AD318" s="94"/>
      <c r="AE318" s="94"/>
      <c r="AF318" s="94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94"/>
      <c r="BC318" s="94"/>
      <c r="BD318" s="94"/>
      <c r="BE318" s="94"/>
      <c r="BF318" s="94"/>
      <c r="BG318" s="94"/>
      <c r="BH318" s="94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</row>
    <row r="319" spans="15:73"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94"/>
      <c r="AC319" s="94"/>
      <c r="AD319" s="94"/>
      <c r="AE319" s="94"/>
      <c r="AF319" s="94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</row>
    <row r="320" spans="15:73"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94"/>
      <c r="AC320" s="94"/>
      <c r="AD320" s="94"/>
      <c r="AE320" s="94"/>
      <c r="AF320" s="94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</row>
    <row r="321" spans="15:73"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</row>
    <row r="322" spans="15:73"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94"/>
      <c r="AC322" s="94"/>
      <c r="AD322" s="94"/>
      <c r="AE322" s="94"/>
      <c r="AF322" s="94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</row>
    <row r="323" spans="15:73"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</row>
    <row r="324" spans="15:73"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94"/>
      <c r="AC324" s="94"/>
      <c r="AD324" s="94"/>
      <c r="AE324" s="94"/>
      <c r="AF324" s="94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</row>
    <row r="325" spans="15:73"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94"/>
      <c r="AC325" s="94"/>
      <c r="AD325" s="94"/>
      <c r="AE325" s="94"/>
      <c r="AF325" s="94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</row>
    <row r="326" spans="15:73"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94"/>
      <c r="AC326" s="94"/>
      <c r="AD326" s="94"/>
      <c r="AE326" s="94"/>
      <c r="AF326" s="94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</row>
    <row r="327" spans="15:73"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94"/>
      <c r="AC327" s="94"/>
      <c r="AD327" s="94"/>
      <c r="AE327" s="94"/>
      <c r="AF327" s="94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</row>
    <row r="328" spans="15:73"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94"/>
      <c r="AC328" s="94"/>
      <c r="AD328" s="94"/>
      <c r="AE328" s="94"/>
      <c r="AF328" s="94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</row>
    <row r="329" spans="15:73"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94"/>
      <c r="AC329" s="94"/>
      <c r="AD329" s="94"/>
      <c r="AE329" s="94"/>
      <c r="AF329" s="94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94"/>
      <c r="BC329" s="94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</row>
    <row r="330" spans="15:73"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</row>
    <row r="331" spans="15:73"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</row>
    <row r="332" spans="15:73"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94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</row>
    <row r="333" spans="15:73"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</row>
    <row r="334" spans="15:73"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94"/>
      <c r="AC334" s="94"/>
      <c r="AD334" s="94"/>
      <c r="AE334" s="94"/>
      <c r="AF334" s="94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</row>
    <row r="335" spans="15:73"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94"/>
      <c r="AC335" s="94"/>
      <c r="AD335" s="94"/>
      <c r="AE335" s="94"/>
      <c r="AF335" s="94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</row>
    <row r="336" spans="15:73"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</row>
    <row r="337" spans="15:73"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</row>
    <row r="338" spans="15:73"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</row>
    <row r="339" spans="15:73"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94"/>
      <c r="AC339" s="94"/>
      <c r="AD339" s="94"/>
      <c r="AE339" s="94"/>
      <c r="AF339" s="94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94"/>
      <c r="AW339" s="94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</row>
    <row r="340" spans="15:73"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</row>
    <row r="341" spans="15:73"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</row>
    <row r="342" spans="15:73"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4"/>
      <c r="AW342" s="94"/>
      <c r="AX342" s="94"/>
      <c r="AY342" s="94"/>
      <c r="AZ342" s="94"/>
      <c r="BA342" s="94"/>
      <c r="BB342" s="94"/>
      <c r="BC342" s="94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</row>
    <row r="343" spans="15:73"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94"/>
      <c r="AC343" s="94"/>
      <c r="AD343" s="94"/>
      <c r="AE343" s="94"/>
      <c r="AF343" s="94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94"/>
      <c r="AW343" s="94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</row>
    <row r="344" spans="15:73"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94"/>
      <c r="AC344" s="94"/>
      <c r="AD344" s="94"/>
      <c r="AE344" s="94"/>
      <c r="AF344" s="94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</row>
    <row r="345" spans="15:73"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94"/>
      <c r="AC345" s="94"/>
      <c r="AD345" s="94"/>
      <c r="AE345" s="94"/>
      <c r="AF345" s="94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94"/>
      <c r="BC345" s="94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</row>
    <row r="346" spans="15:73"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94"/>
      <c r="AC346" s="94"/>
      <c r="AD346" s="94"/>
      <c r="AE346" s="94"/>
      <c r="AF346" s="94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</row>
    <row r="347" spans="15:73"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94"/>
      <c r="AC347" s="94"/>
      <c r="AD347" s="94"/>
      <c r="AE347" s="94"/>
      <c r="AF347" s="94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94"/>
      <c r="BU347" s="94"/>
    </row>
    <row r="348" spans="15:73"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</row>
    <row r="349" spans="15:73"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94"/>
      <c r="AC349" s="94"/>
      <c r="AD349" s="94"/>
      <c r="AE349" s="94"/>
      <c r="AF349" s="94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</row>
    <row r="350" spans="15:73"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94"/>
      <c r="AC350" s="94"/>
      <c r="AD350" s="94"/>
      <c r="AE350" s="94"/>
      <c r="AF350" s="94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</row>
    <row r="351" spans="15:73"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94"/>
      <c r="AC351" s="94"/>
      <c r="AD351" s="94"/>
      <c r="AE351" s="94"/>
      <c r="AF351" s="94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</row>
    <row r="352" spans="15:73"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94"/>
      <c r="AC352" s="94"/>
      <c r="AD352" s="94"/>
      <c r="AE352" s="94"/>
      <c r="AF352" s="94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94"/>
      <c r="AW352" s="94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</row>
    <row r="353" spans="15:73"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94"/>
      <c r="AC353" s="94"/>
      <c r="AD353" s="94"/>
      <c r="AE353" s="94"/>
      <c r="AF353" s="94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94"/>
      <c r="BC353" s="94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</row>
    <row r="354" spans="15:73"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94"/>
      <c r="AC354" s="94"/>
      <c r="AD354" s="94"/>
      <c r="AE354" s="94"/>
      <c r="AF354" s="94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</row>
    <row r="355" spans="15:73"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94"/>
      <c r="AC355" s="94"/>
      <c r="AD355" s="94"/>
      <c r="AE355" s="94"/>
      <c r="AF355" s="94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</row>
    <row r="356" spans="15:73"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</row>
    <row r="357" spans="15:73"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94"/>
      <c r="AC357" s="94"/>
      <c r="AD357" s="94"/>
      <c r="AE357" s="94"/>
      <c r="AF357" s="94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</row>
    <row r="358" spans="15:73"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94"/>
      <c r="AC358" s="94"/>
      <c r="AD358" s="94"/>
      <c r="AE358" s="94"/>
      <c r="AF358" s="94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94"/>
      <c r="BF358" s="94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94"/>
      <c r="BU358" s="94"/>
    </row>
    <row r="359" spans="15:73"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94"/>
      <c r="AC359" s="94"/>
      <c r="AD359" s="94"/>
      <c r="AE359" s="94"/>
      <c r="AF359" s="94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</row>
    <row r="360" spans="15:73"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94"/>
      <c r="AC360" s="94"/>
      <c r="AD360" s="94"/>
      <c r="AE360" s="94"/>
      <c r="AF360" s="94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</row>
    <row r="361" spans="15:73"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94"/>
      <c r="AC361" s="94"/>
      <c r="AD361" s="94"/>
      <c r="AE361" s="94"/>
      <c r="AF361" s="94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</row>
    <row r="362" spans="15:73"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94"/>
      <c r="AC362" s="94"/>
      <c r="AD362" s="94"/>
      <c r="AE362" s="94"/>
      <c r="AF362" s="94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</row>
    <row r="363" spans="15:73"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</row>
    <row r="364" spans="15:73"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94"/>
      <c r="AC364" s="94"/>
      <c r="AD364" s="94"/>
      <c r="AE364" s="94"/>
      <c r="AF364" s="94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94"/>
      <c r="AW364" s="94"/>
      <c r="AX364" s="94"/>
      <c r="AY364" s="94"/>
      <c r="AZ364" s="94"/>
      <c r="BA364" s="94"/>
      <c r="BB364" s="94"/>
      <c r="BC364" s="94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</row>
    <row r="365" spans="15:73"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94"/>
      <c r="AC365" s="94"/>
      <c r="AD365" s="94"/>
      <c r="AE365" s="94"/>
      <c r="AF365" s="94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</row>
    <row r="366" spans="15:73"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94"/>
      <c r="AC366" s="94"/>
      <c r="AD366" s="94"/>
      <c r="AE366" s="94"/>
      <c r="AF366" s="94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</row>
    <row r="367" spans="15:73"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94"/>
      <c r="AC367" s="94"/>
      <c r="AD367" s="94"/>
      <c r="AE367" s="94"/>
      <c r="AF367" s="94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</row>
    <row r="368" spans="15:73"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94"/>
      <c r="AC368" s="94"/>
      <c r="AD368" s="94"/>
      <c r="AE368" s="94"/>
      <c r="AF368" s="94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94"/>
      <c r="BU368" s="94"/>
    </row>
    <row r="369" spans="15:73"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94"/>
      <c r="AC369" s="94"/>
      <c r="AD369" s="94"/>
      <c r="AE369" s="94"/>
      <c r="AF369" s="94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</row>
    <row r="370" spans="15:73"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94"/>
      <c r="AC370" s="94"/>
      <c r="AD370" s="94"/>
      <c r="AE370" s="94"/>
      <c r="AF370" s="94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</row>
    <row r="371" spans="15:73"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94"/>
      <c r="AC371" s="94"/>
      <c r="AD371" s="94"/>
      <c r="AE371" s="94"/>
      <c r="AF371" s="94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</row>
    <row r="372" spans="15:73"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</row>
    <row r="373" spans="15:73"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94"/>
      <c r="AC373" s="94"/>
      <c r="AD373" s="94"/>
      <c r="AE373" s="94"/>
      <c r="AF373" s="94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94"/>
      <c r="AW373" s="94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</row>
    <row r="374" spans="15:73"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94"/>
      <c r="AC374" s="94"/>
      <c r="AD374" s="94"/>
      <c r="AE374" s="94"/>
      <c r="AF374" s="94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</row>
    <row r="375" spans="15:73"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94"/>
      <c r="AC375" s="94"/>
      <c r="AD375" s="94"/>
      <c r="AE375" s="94"/>
      <c r="AF375" s="94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</row>
    <row r="376" spans="15:73"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94"/>
      <c r="AC376" s="94"/>
      <c r="AD376" s="94"/>
      <c r="AE376" s="94"/>
      <c r="AF376" s="94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</row>
    <row r="377" spans="15:73"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94"/>
      <c r="AC377" s="94"/>
      <c r="AD377" s="94"/>
      <c r="AE377" s="94"/>
      <c r="AF377" s="94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</row>
    <row r="378" spans="15:73"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94"/>
      <c r="AC378" s="94"/>
      <c r="AD378" s="94"/>
      <c r="AE378" s="94"/>
      <c r="AF378" s="94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94"/>
      <c r="BF378" s="94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</row>
    <row r="379" spans="15:73"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94"/>
      <c r="AC379" s="94"/>
      <c r="AD379" s="94"/>
      <c r="AE379" s="94"/>
      <c r="AF379" s="94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</row>
    <row r="380" spans="15:73"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</row>
    <row r="381" spans="15:73"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94"/>
      <c r="AC381" s="94"/>
      <c r="AD381" s="94"/>
      <c r="AE381" s="94"/>
      <c r="AF381" s="94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94"/>
      <c r="BC381" s="94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</row>
    <row r="382" spans="15:73"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94"/>
      <c r="AC382" s="94"/>
      <c r="AD382" s="94"/>
      <c r="AE382" s="94"/>
      <c r="AF382" s="94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</row>
    <row r="383" spans="15:73"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94"/>
      <c r="AC383" s="94"/>
      <c r="AD383" s="94"/>
      <c r="AE383" s="94"/>
      <c r="AF383" s="94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</row>
    <row r="384" spans="15:73"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94"/>
      <c r="AC384" s="94"/>
      <c r="AD384" s="94"/>
      <c r="AE384" s="94"/>
      <c r="AF384" s="94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94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</row>
    <row r="385" spans="15:73"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94"/>
      <c r="AC385" s="94"/>
      <c r="AD385" s="94"/>
      <c r="AE385" s="94"/>
      <c r="AF385" s="94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</row>
    <row r="386" spans="15:73"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94"/>
      <c r="AC386" s="94"/>
      <c r="AD386" s="94"/>
      <c r="AE386" s="94"/>
      <c r="AF386" s="94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</row>
    <row r="387" spans="15:73"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94"/>
      <c r="AC387" s="94"/>
      <c r="AD387" s="94"/>
      <c r="AE387" s="94"/>
      <c r="AF387" s="94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94"/>
      <c r="AW387" s="94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</row>
    <row r="388" spans="15:73"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</row>
    <row r="389" spans="15:73"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94"/>
      <c r="AC389" s="94"/>
      <c r="AD389" s="94"/>
      <c r="AE389" s="94"/>
      <c r="AF389" s="94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</row>
    <row r="390" spans="15:73"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94"/>
      <c r="AC390" s="94"/>
      <c r="AD390" s="94"/>
      <c r="AE390" s="94"/>
      <c r="AF390" s="94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</row>
    <row r="391" spans="15:73"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94"/>
      <c r="AC391" s="94"/>
      <c r="AD391" s="94"/>
      <c r="AE391" s="94"/>
      <c r="AF391" s="94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</row>
    <row r="392" spans="15:73"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94"/>
      <c r="AC392" s="94"/>
      <c r="AD392" s="94"/>
      <c r="AE392" s="94"/>
      <c r="AF392" s="94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</row>
    <row r="393" spans="15:73"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94"/>
      <c r="AC393" s="94"/>
      <c r="AD393" s="94"/>
      <c r="AE393" s="94"/>
      <c r="AF393" s="94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</row>
    <row r="394" spans="15:73"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94"/>
      <c r="AC394" s="94"/>
      <c r="AD394" s="94"/>
      <c r="AE394" s="94"/>
      <c r="AF394" s="94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</row>
    <row r="395" spans="15:73"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94"/>
      <c r="AC395" s="94"/>
      <c r="AD395" s="94"/>
      <c r="AE395" s="94"/>
      <c r="AF395" s="94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</row>
    <row r="396" spans="15:73"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94"/>
      <c r="AC396" s="94"/>
      <c r="AD396" s="94"/>
      <c r="AE396" s="94"/>
      <c r="AF396" s="94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94"/>
      <c r="BC396" s="94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</row>
    <row r="397" spans="15:73"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94"/>
      <c r="AC397" s="94"/>
      <c r="AD397" s="94"/>
      <c r="AE397" s="94"/>
      <c r="AF397" s="94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</row>
    <row r="398" spans="15:73"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94"/>
      <c r="AC398" s="94"/>
      <c r="AD398" s="94"/>
      <c r="AE398" s="94"/>
      <c r="AF398" s="94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94"/>
      <c r="BU398" s="94"/>
    </row>
    <row r="399" spans="15:73"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94"/>
      <c r="AC399" s="94"/>
      <c r="AD399" s="94"/>
      <c r="AE399" s="94"/>
      <c r="AF399" s="94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94"/>
      <c r="AW399" s="94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</row>
    <row r="400" spans="15:73"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94"/>
      <c r="AC400" s="94"/>
      <c r="AD400" s="94"/>
      <c r="AE400" s="94"/>
      <c r="AF400" s="94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</row>
    <row r="401" spans="15:73"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94"/>
      <c r="AC401" s="94"/>
      <c r="AD401" s="94"/>
      <c r="AE401" s="94"/>
      <c r="AF401" s="94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</row>
    <row r="402" spans="15:73"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94"/>
      <c r="AC402" s="94"/>
      <c r="AD402" s="94"/>
      <c r="AE402" s="94"/>
      <c r="AF402" s="94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</row>
    <row r="403" spans="15:73"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94"/>
      <c r="AC403" s="94"/>
      <c r="AD403" s="94"/>
      <c r="AE403" s="94"/>
      <c r="AF403" s="94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</row>
    <row r="404" spans="15:73"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94"/>
      <c r="AC404" s="94"/>
      <c r="AD404" s="94"/>
      <c r="AE404" s="94"/>
      <c r="AF404" s="94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</row>
    <row r="405" spans="15:73"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94"/>
      <c r="AC405" s="94"/>
      <c r="AD405" s="94"/>
      <c r="AE405" s="94"/>
      <c r="AF405" s="94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</row>
    <row r="406" spans="15:73"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94"/>
      <c r="AC406" s="94"/>
      <c r="AD406" s="94"/>
      <c r="AE406" s="94"/>
      <c r="AF406" s="94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94"/>
      <c r="AW406" s="94"/>
      <c r="AX406" s="94"/>
      <c r="AY406" s="94"/>
      <c r="AZ406" s="94"/>
      <c r="BA406" s="94"/>
      <c r="BB406" s="94"/>
      <c r="BC406" s="94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</row>
    <row r="407" spans="15:73"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94"/>
      <c r="AC407" s="94"/>
      <c r="AD407" s="94"/>
      <c r="AE407" s="94"/>
      <c r="AF407" s="94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</row>
    <row r="408" spans="15:73"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94"/>
      <c r="AC408" s="94"/>
      <c r="AD408" s="94"/>
      <c r="AE408" s="94"/>
      <c r="AF408" s="94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</row>
    <row r="409" spans="15:73"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94"/>
      <c r="AC409" s="94"/>
      <c r="AD409" s="94"/>
      <c r="AE409" s="94"/>
      <c r="AF409" s="94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</row>
    <row r="410" spans="15:73"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94"/>
      <c r="AC410" s="94"/>
      <c r="AD410" s="94"/>
      <c r="AE410" s="94"/>
      <c r="AF410" s="94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94"/>
      <c r="BC410" s="94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</row>
    <row r="411" spans="15:73"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94"/>
      <c r="AC411" s="94"/>
      <c r="AD411" s="94"/>
      <c r="AE411" s="94"/>
      <c r="AF411" s="94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</row>
    <row r="412" spans="15:73"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94"/>
      <c r="AC412" s="94"/>
      <c r="AD412" s="94"/>
      <c r="AE412" s="94"/>
      <c r="AF412" s="94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</row>
    <row r="413" spans="15:73"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94"/>
      <c r="AC413" s="94"/>
      <c r="AD413" s="94"/>
      <c r="AE413" s="94"/>
      <c r="AF413" s="94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</row>
    <row r="414" spans="15:73"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94"/>
      <c r="AC414" s="94"/>
      <c r="AD414" s="94"/>
      <c r="AE414" s="94"/>
      <c r="AF414" s="94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</row>
    <row r="415" spans="15:73"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94"/>
      <c r="AC415" s="94"/>
      <c r="AD415" s="94"/>
      <c r="AE415" s="94"/>
      <c r="AF415" s="94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</row>
    <row r="416" spans="15:73"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94"/>
      <c r="AC416" s="94"/>
      <c r="AD416" s="94"/>
      <c r="AE416" s="94"/>
      <c r="AF416" s="94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</row>
    <row r="417" spans="15:73"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94"/>
      <c r="AC417" s="94"/>
      <c r="AD417" s="94"/>
      <c r="AE417" s="94"/>
      <c r="AF417" s="94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</row>
    <row r="418" spans="15:73"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94"/>
      <c r="AC418" s="94"/>
      <c r="AD418" s="94"/>
      <c r="AE418" s="94"/>
      <c r="AF418" s="94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</row>
    <row r="419" spans="15:73"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94"/>
      <c r="AC419" s="94"/>
      <c r="AD419" s="94"/>
      <c r="AE419" s="94"/>
      <c r="AF419" s="94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</row>
    <row r="420" spans="15:73"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94"/>
      <c r="AC420" s="94"/>
      <c r="AD420" s="94"/>
      <c r="AE420" s="94"/>
      <c r="AF420" s="94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</row>
    <row r="421" spans="15:73"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94"/>
      <c r="AC421" s="94"/>
      <c r="AD421" s="94"/>
      <c r="AE421" s="94"/>
      <c r="AF421" s="94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94"/>
      <c r="BC421" s="94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</row>
    <row r="422" spans="15:73"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94"/>
      <c r="AC422" s="94"/>
      <c r="AD422" s="94"/>
      <c r="AE422" s="94"/>
      <c r="AF422" s="94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94"/>
      <c r="BF422" s="94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94"/>
      <c r="BU422" s="94"/>
    </row>
    <row r="423" spans="15:73"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94"/>
      <c r="AC423" s="94"/>
      <c r="AD423" s="94"/>
      <c r="AE423" s="94"/>
      <c r="AF423" s="94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</row>
    <row r="424" spans="15:73"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94"/>
      <c r="AC424" s="94"/>
      <c r="AD424" s="94"/>
      <c r="AE424" s="94"/>
      <c r="AF424" s="94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94"/>
      <c r="AZ424" s="94"/>
      <c r="BA424" s="94"/>
      <c r="BB424" s="94"/>
      <c r="BC424" s="94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</row>
    <row r="425" spans="15:73"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94"/>
      <c r="AC425" s="94"/>
      <c r="AD425" s="94"/>
      <c r="AE425" s="94"/>
      <c r="AF425" s="94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</row>
    <row r="426" spans="15:73"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94"/>
      <c r="AC426" s="94"/>
      <c r="AD426" s="94"/>
      <c r="AE426" s="94"/>
      <c r="AF426" s="94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</row>
    <row r="427" spans="15:73"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94"/>
      <c r="AC427" s="94"/>
      <c r="AD427" s="94"/>
      <c r="AE427" s="94"/>
      <c r="AF427" s="94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</row>
    <row r="428" spans="15:73"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94"/>
      <c r="AC428" s="94"/>
      <c r="AD428" s="94"/>
      <c r="AE428" s="94"/>
      <c r="AF428" s="94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</row>
    <row r="429" spans="15:73"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94"/>
      <c r="AC429" s="94"/>
      <c r="AD429" s="94"/>
      <c r="AE429" s="94"/>
      <c r="AF429" s="94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</row>
    <row r="430" spans="15:73"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94"/>
      <c r="AC430" s="94"/>
      <c r="AD430" s="94"/>
      <c r="AE430" s="94"/>
      <c r="AF430" s="94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</row>
    <row r="431" spans="15:73"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94"/>
      <c r="AC431" s="94"/>
      <c r="AD431" s="94"/>
      <c r="AE431" s="94"/>
      <c r="AF431" s="94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</row>
    <row r="432" spans="15:73"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94"/>
      <c r="AC432" s="94"/>
      <c r="AD432" s="94"/>
      <c r="AE432" s="94"/>
      <c r="AF432" s="94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</row>
    <row r="433" spans="15:73"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94"/>
      <c r="AC433" s="94"/>
      <c r="AD433" s="94"/>
      <c r="AE433" s="94"/>
      <c r="AF433" s="94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</row>
    <row r="434" spans="15:73"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94"/>
      <c r="AC434" s="94"/>
      <c r="AD434" s="94"/>
      <c r="AE434" s="94"/>
      <c r="AF434" s="94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</row>
    <row r="435" spans="15:73"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94"/>
      <c r="AC435" s="94"/>
      <c r="AD435" s="94"/>
      <c r="AE435" s="94"/>
      <c r="AF435" s="94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</row>
    <row r="436" spans="15:73"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94"/>
      <c r="AC436" s="94"/>
      <c r="AD436" s="94"/>
      <c r="AE436" s="94"/>
      <c r="AF436" s="94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</row>
    <row r="437" spans="15:73"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94"/>
      <c r="AC437" s="94"/>
      <c r="AD437" s="94"/>
      <c r="AE437" s="94"/>
      <c r="AF437" s="94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94"/>
      <c r="AW437" s="94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</row>
    <row r="438" spans="15:73"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94"/>
      <c r="AC438" s="94"/>
      <c r="AD438" s="94"/>
      <c r="AE438" s="94"/>
      <c r="AF438" s="94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</row>
    <row r="439" spans="15:73"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94"/>
      <c r="AC439" s="94"/>
      <c r="AD439" s="94"/>
      <c r="AE439" s="94"/>
      <c r="AF439" s="94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</row>
    <row r="440" spans="15:73"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94"/>
      <c r="AC440" s="94"/>
      <c r="AD440" s="94"/>
      <c r="AE440" s="94"/>
      <c r="AF440" s="94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94"/>
      <c r="BU440" s="94"/>
    </row>
    <row r="441" spans="15:73"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94"/>
      <c r="AC441" s="94"/>
      <c r="AD441" s="94"/>
      <c r="AE441" s="94"/>
      <c r="AF441" s="94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</row>
    <row r="442" spans="15:73"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94"/>
      <c r="AC442" s="94"/>
      <c r="AD442" s="94"/>
      <c r="AE442" s="94"/>
      <c r="AF442" s="94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</row>
    <row r="443" spans="15:73"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94"/>
      <c r="AC443" s="94"/>
      <c r="AD443" s="94"/>
      <c r="AE443" s="94"/>
      <c r="AF443" s="94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94"/>
      <c r="BF443" s="94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</row>
    <row r="444" spans="15:73"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94"/>
      <c r="AC444" s="94"/>
      <c r="AD444" s="94"/>
      <c r="AE444" s="94"/>
      <c r="AF444" s="94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</row>
    <row r="445" spans="15:73"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94"/>
      <c r="AC445" s="94"/>
      <c r="AD445" s="94"/>
      <c r="AE445" s="94"/>
      <c r="AF445" s="94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94"/>
      <c r="BC445" s="94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</row>
    <row r="446" spans="15:73"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94"/>
      <c r="AC446" s="94"/>
      <c r="AD446" s="94"/>
      <c r="AE446" s="94"/>
      <c r="AF446" s="94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94"/>
      <c r="BC446" s="94"/>
      <c r="BD446" s="94"/>
      <c r="BE446" s="94"/>
      <c r="BF446" s="94"/>
      <c r="BG446" s="94"/>
      <c r="BH446" s="94"/>
      <c r="BI446" s="94"/>
      <c r="BJ446" s="94"/>
      <c r="BK446" s="94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</row>
    <row r="447" spans="15:73"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94"/>
      <c r="AC447" s="94"/>
      <c r="AD447" s="94"/>
      <c r="AE447" s="94"/>
      <c r="AF447" s="94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</row>
    <row r="448" spans="15:73"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94"/>
      <c r="AC448" s="94"/>
      <c r="AD448" s="94"/>
      <c r="AE448" s="94"/>
      <c r="AF448" s="94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</row>
    <row r="449" spans="15:73"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94"/>
      <c r="AC449" s="94"/>
      <c r="AD449" s="94"/>
      <c r="AE449" s="94"/>
      <c r="AF449" s="94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94"/>
      <c r="BC449" s="94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</row>
    <row r="450" spans="15:73"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94"/>
      <c r="AC450" s="94"/>
      <c r="AD450" s="94"/>
      <c r="AE450" s="94"/>
      <c r="AF450" s="94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</row>
    <row r="451" spans="15:73"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94"/>
      <c r="AC451" s="94"/>
      <c r="AD451" s="94"/>
      <c r="AE451" s="94"/>
      <c r="AF451" s="94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</row>
    <row r="452" spans="15:73"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94"/>
      <c r="AC452" s="94"/>
      <c r="AD452" s="94"/>
      <c r="AE452" s="94"/>
      <c r="AF452" s="94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94"/>
      <c r="AW452" s="94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</row>
    <row r="453" spans="15:73"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</row>
    <row r="454" spans="15:73"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</row>
    <row r="455" spans="15:73"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</row>
    <row r="456" spans="15:73"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</row>
    <row r="457" spans="15:73"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</row>
    <row r="458" spans="15:73"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</row>
    <row r="459" spans="15:73"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</row>
    <row r="460" spans="15:73"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94"/>
      <c r="BC460" s="94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</row>
    <row r="461" spans="15:73"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</row>
    <row r="462" spans="15:73"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94"/>
      <c r="BC462" s="94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</row>
    <row r="463" spans="15:73"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94"/>
      <c r="BF463" s="94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</row>
    <row r="464" spans="15:73"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</row>
    <row r="465" spans="15:73"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</row>
    <row r="466" spans="15:73"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</row>
    <row r="467" spans="15:73"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</row>
    <row r="468" spans="15:73"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</row>
    <row r="469" spans="15:73"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</row>
    <row r="470" spans="15:73"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</row>
    <row r="471" spans="15:73"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</row>
    <row r="472" spans="15:73"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</row>
    <row r="473" spans="15:73"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</row>
    <row r="474" spans="15:73"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</row>
    <row r="475" spans="15:73"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</row>
    <row r="476" spans="15:73"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</row>
    <row r="477" spans="15:73"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</row>
    <row r="478" spans="15:73"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</row>
    <row r="479" spans="15:73"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94"/>
      <c r="AW479" s="94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</row>
    <row r="480" spans="15:73"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</row>
    <row r="481" spans="15:73"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94"/>
      <c r="BU481" s="94"/>
    </row>
    <row r="482" spans="15:73"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</row>
    <row r="483" spans="15:73"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94"/>
      <c r="BF483" s="94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</row>
    <row r="484" spans="15:73"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</row>
    <row r="485" spans="15:73"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</row>
    <row r="486" spans="15:73"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</row>
    <row r="487" spans="15:73"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</row>
    <row r="488" spans="15:73"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</row>
    <row r="489" spans="15:73"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</row>
    <row r="490" spans="15:73"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</row>
    <row r="491" spans="15:73"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94"/>
      <c r="AW491" s="94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</row>
    <row r="492" spans="15:73"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</row>
    <row r="493" spans="15:73"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94"/>
      <c r="BF493" s="94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</row>
    <row r="494" spans="15:73"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</row>
    <row r="495" spans="15:73"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</row>
    <row r="496" spans="15:73"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</row>
    <row r="497" spans="15:73"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4"/>
      <c r="AQ497" s="94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</row>
    <row r="498" spans="15:73"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</row>
    <row r="499" spans="15:73"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</row>
    <row r="500" spans="15:73"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</row>
    <row r="501" spans="15:73"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</row>
    <row r="502" spans="15:73"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</row>
    <row r="503" spans="15:73"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</row>
    <row r="504" spans="15:73"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</row>
    <row r="505" spans="15:73"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</row>
    <row r="506" spans="15:73"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94"/>
      <c r="BF506" s="94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</row>
    <row r="507" spans="15:73"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</row>
    <row r="508" spans="15:73"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</row>
    <row r="509" spans="15:73"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</row>
    <row r="510" spans="15:73"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</row>
    <row r="511" spans="15:73"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</row>
    <row r="512" spans="15:73"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</row>
    <row r="513" spans="15:73"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</row>
    <row r="514" spans="15:73"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</row>
    <row r="515" spans="15:73"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</row>
    <row r="516" spans="15:73"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</row>
    <row r="517" spans="15:73"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</row>
    <row r="518" spans="15:73"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</row>
    <row r="519" spans="15:73"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</row>
    <row r="520" spans="15:73"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</row>
    <row r="521" spans="15:73"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</row>
    <row r="522" spans="15:73"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</row>
    <row r="523" spans="15:73"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4"/>
      <c r="AQ523" s="94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</row>
    <row r="524" spans="15:73"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</row>
    <row r="525" spans="15:73"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</row>
    <row r="526" spans="15:73"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</row>
    <row r="527" spans="15:73"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</row>
    <row r="528" spans="15:73"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94"/>
      <c r="BC528" s="94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</row>
    <row r="529" spans="15:73"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</row>
    <row r="530" spans="15:73"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</row>
    <row r="531" spans="15:73"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</row>
    <row r="532" spans="15:73"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</row>
    <row r="533" spans="15:73"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94"/>
      <c r="BC533" s="94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</row>
    <row r="534" spans="15:73"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</row>
    <row r="535" spans="15:73"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</row>
    <row r="536" spans="15:73"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</row>
    <row r="537" spans="15:73"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</row>
    <row r="538" spans="15:73"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</row>
    <row r="539" spans="15:73"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</row>
    <row r="540" spans="15:73"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94"/>
      <c r="BC540" s="94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</row>
    <row r="541" spans="15:73"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</row>
    <row r="542" spans="15:73"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</row>
    <row r="543" spans="15:73"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</row>
    <row r="544" spans="15:73"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</row>
    <row r="545" spans="15:73"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</row>
    <row r="546" spans="15:73"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</row>
  </sheetData>
  <dataConsolidate link="1"/>
  <phoneticPr fontId="38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3"/>
  <sheetViews>
    <sheetView showGridLines="0" zoomScale="70" zoomScaleNormal="70" workbookViewId="0"/>
  </sheetViews>
  <sheetFormatPr defaultColWidth="9.140625" defaultRowHeight="12.75"/>
  <cols>
    <col min="1" max="1" width="16" customWidth="1"/>
    <col min="2" max="2" width="12.28515625" bestFit="1" customWidth="1"/>
    <col min="3" max="3" width="13.42578125" bestFit="1" customWidth="1"/>
    <col min="4" max="4" width="11.140625" bestFit="1" customWidth="1"/>
    <col min="5" max="5" width="13.42578125" bestFit="1" customWidth="1"/>
    <col min="6" max="6" width="1.7109375" customWidth="1"/>
    <col min="7" max="7" width="14.42578125" bestFit="1" customWidth="1"/>
    <col min="8" max="9" width="13.42578125" bestFit="1" customWidth="1"/>
    <col min="10" max="10" width="10.7109375" customWidth="1"/>
    <col min="11" max="11" width="13.5703125" customWidth="1"/>
    <col min="12" max="12" width="11.7109375" bestFit="1" customWidth="1"/>
  </cols>
  <sheetData>
    <row r="1" spans="1:12" ht="14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4.25">
      <c r="A2" s="15"/>
      <c r="B2" s="196" t="s">
        <v>56</v>
      </c>
      <c r="C2" s="196"/>
      <c r="D2" s="196"/>
      <c r="E2" s="196"/>
      <c r="F2" s="15"/>
      <c r="G2" s="196" t="s">
        <v>57</v>
      </c>
      <c r="H2" s="196"/>
      <c r="I2" s="196"/>
      <c r="J2" s="15"/>
    </row>
    <row r="3" spans="1:12" ht="14.25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58</v>
      </c>
    </row>
    <row r="4" spans="1:12" ht="14.25">
      <c r="A4" s="21" t="s">
        <v>59</v>
      </c>
      <c r="B4" s="23" t="s">
        <v>60</v>
      </c>
      <c r="C4" s="23" t="s">
        <v>26</v>
      </c>
      <c r="D4" s="23" t="s">
        <v>27</v>
      </c>
      <c r="E4" s="25" t="s">
        <v>61</v>
      </c>
      <c r="F4" s="24"/>
      <c r="G4" s="23" t="s">
        <v>62</v>
      </c>
      <c r="H4" s="23" t="s">
        <v>63</v>
      </c>
      <c r="I4" s="23" t="s">
        <v>61</v>
      </c>
      <c r="J4" s="23" t="s">
        <v>64</v>
      </c>
    </row>
    <row r="5" spans="1:12" ht="14.25">
      <c r="A5" s="15"/>
      <c r="B5" s="197" t="s">
        <v>65</v>
      </c>
      <c r="C5" s="197"/>
      <c r="D5" s="197"/>
      <c r="E5" s="197"/>
      <c r="F5" s="197"/>
      <c r="G5" s="197"/>
      <c r="H5" s="197"/>
      <c r="I5" s="197"/>
      <c r="J5" s="197"/>
    </row>
    <row r="6" spans="1:12" ht="14.25">
      <c r="A6" s="15" t="s">
        <v>34</v>
      </c>
      <c r="B6" s="42">
        <v>340.786</v>
      </c>
      <c r="C6" s="43">
        <f>C23</f>
        <v>51814.455000000002</v>
      </c>
      <c r="D6" s="43">
        <f>D23</f>
        <v>654.51012091299992</v>
      </c>
      <c r="E6" s="32">
        <f>E23</f>
        <v>52809.751120913003</v>
      </c>
      <c r="F6" s="43"/>
      <c r="G6" s="43">
        <f>G23</f>
        <v>38958.712443149998</v>
      </c>
      <c r="H6" s="43">
        <f>H23</f>
        <v>13540.111898224999</v>
      </c>
      <c r="I6" s="43">
        <f>I23</f>
        <v>52498.824231143997</v>
      </c>
      <c r="J6" s="43">
        <f>J22</f>
        <v>310.92700000000002</v>
      </c>
    </row>
    <row r="7" spans="1:12" ht="16.5">
      <c r="A7" s="15" t="s">
        <v>35</v>
      </c>
      <c r="B7" s="42">
        <f>J6</f>
        <v>310.92700000000002</v>
      </c>
      <c r="C7" s="43">
        <f>C38</f>
        <v>52493.097999999998</v>
      </c>
      <c r="D7" s="156">
        <f>D38</f>
        <v>632.09806422399993</v>
      </c>
      <c r="E7" s="156">
        <f t="shared" ref="E7:I7" si="0">E38</f>
        <v>53436.123064224004</v>
      </c>
      <c r="F7" s="156">
        <f t="shared" si="0"/>
        <v>0</v>
      </c>
      <c r="G7" s="156">
        <f>G38</f>
        <v>38401.741384276</v>
      </c>
      <c r="H7" s="156">
        <f>H38</f>
        <v>14663.508106237146</v>
      </c>
      <c r="I7" s="156">
        <f t="shared" si="0"/>
        <v>53065.232174455006</v>
      </c>
      <c r="J7" s="43">
        <f>J37</f>
        <v>370.89100000000002</v>
      </c>
      <c r="K7" s="126"/>
      <c r="L7" s="114"/>
    </row>
    <row r="8" spans="1:12" ht="16.5">
      <c r="A8" s="15" t="s">
        <v>36</v>
      </c>
      <c r="B8" s="42">
        <f>J7</f>
        <v>370.89100000000002</v>
      </c>
      <c r="C8" s="43">
        <v>54154</v>
      </c>
      <c r="D8" s="43">
        <v>600</v>
      </c>
      <c r="E8" s="32">
        <f>SUM(B8:D8)</f>
        <v>55124.891000000003</v>
      </c>
      <c r="F8" s="43"/>
      <c r="G8" s="43">
        <v>39425</v>
      </c>
      <c r="H8" s="43">
        <v>15300</v>
      </c>
      <c r="I8" s="43">
        <f>G8+H8</f>
        <v>54725</v>
      </c>
      <c r="J8" s="43">
        <f>E8-I8</f>
        <v>399.89100000000326</v>
      </c>
      <c r="L8" s="182"/>
    </row>
    <row r="9" spans="1:12" ht="14.25">
      <c r="A9" s="15"/>
      <c r="B9" s="44"/>
      <c r="C9" s="44"/>
      <c r="D9" s="44"/>
      <c r="E9" s="44"/>
      <c r="F9" s="44"/>
      <c r="G9" s="43"/>
      <c r="H9" s="44"/>
      <c r="I9" s="44"/>
      <c r="J9" s="44"/>
    </row>
    <row r="10" spans="1:12" ht="15">
      <c r="A10" s="35" t="s">
        <v>34</v>
      </c>
      <c r="B10" s="45"/>
      <c r="C10" s="6"/>
      <c r="D10" s="6"/>
      <c r="E10" s="6"/>
      <c r="F10" s="6"/>
      <c r="G10" s="6"/>
      <c r="H10" s="6"/>
      <c r="I10" s="6"/>
      <c r="J10" s="6"/>
    </row>
    <row r="11" spans="1:12" ht="14.25">
      <c r="A11" s="15" t="s">
        <v>38</v>
      </c>
      <c r="B11" s="45">
        <f>B6</f>
        <v>340.786</v>
      </c>
      <c r="C11" s="6">
        <v>4591.6390000000001</v>
      </c>
      <c r="D11" s="6">
        <f>(56544.1*1.10231)/1000</f>
        <v>62.329126870999993</v>
      </c>
      <c r="E11" s="6">
        <f t="shared" ref="E11:E22" si="1">SUM(B11:D11)</f>
        <v>4994.7541268710002</v>
      </c>
      <c r="F11" s="6"/>
      <c r="G11" s="6">
        <f t="shared" ref="G11:G22" si="2">I11-H11</f>
        <v>3492.8224392370003</v>
      </c>
      <c r="H11" s="6">
        <f>(989241.4*1.10231)/1000</f>
        <v>1090.4506876339999</v>
      </c>
      <c r="I11" s="5">
        <f t="shared" ref="I11:I22" si="3">E11-J11</f>
        <v>4583.2731268710004</v>
      </c>
      <c r="J11" s="6">
        <v>411.48099999999999</v>
      </c>
      <c r="K11" s="95"/>
      <c r="L11" s="99"/>
    </row>
    <row r="12" spans="1:12" ht="14.25">
      <c r="A12" s="15" t="s">
        <v>39</v>
      </c>
      <c r="B12" s="45">
        <f t="shared" ref="B12:B19" si="4">J11</f>
        <v>411.48099999999999</v>
      </c>
      <c r="C12" s="6">
        <v>4456.7700000000004</v>
      </c>
      <c r="D12" s="6">
        <f>(33725.3*1.10231)/1000</f>
        <v>37.175735443000001</v>
      </c>
      <c r="E12" s="6">
        <f t="shared" si="1"/>
        <v>4905.4267354430003</v>
      </c>
      <c r="F12" s="6"/>
      <c r="G12" s="6">
        <f t="shared" si="2"/>
        <v>3282.1252583210003</v>
      </c>
      <c r="H12" s="6">
        <f>(1131886.2*1.10231)/1000</f>
        <v>1247.689477122</v>
      </c>
      <c r="I12" s="5">
        <f t="shared" si="3"/>
        <v>4529.8147354430002</v>
      </c>
      <c r="J12" s="6">
        <v>375.61200000000002</v>
      </c>
      <c r="K12" s="95"/>
      <c r="L12" s="99"/>
    </row>
    <row r="13" spans="1:12" ht="14.25">
      <c r="A13" s="15" t="s">
        <v>41</v>
      </c>
      <c r="B13" s="45">
        <f t="shared" si="4"/>
        <v>375.61200000000002</v>
      </c>
      <c r="C13" s="6">
        <v>4629.5519999999997</v>
      </c>
      <c r="D13" s="6">
        <f>(33571.6*1.10231)/1000</f>
        <v>37.006310395999996</v>
      </c>
      <c r="E13" s="6">
        <f t="shared" si="1"/>
        <v>5042.1703103959999</v>
      </c>
      <c r="F13" s="6"/>
      <c r="G13" s="6">
        <f t="shared" si="2"/>
        <v>3225.7453203929999</v>
      </c>
      <c r="H13" s="6">
        <f>(1274701.3*1.10231)/1000</f>
        <v>1405.115990003</v>
      </c>
      <c r="I13" s="5">
        <f t="shared" si="3"/>
        <v>4630.8613103959997</v>
      </c>
      <c r="J13" s="6">
        <v>411.30900000000003</v>
      </c>
      <c r="K13" s="95"/>
      <c r="L13" s="99"/>
    </row>
    <row r="14" spans="1:12" ht="14.25">
      <c r="A14" s="15" t="s">
        <v>42</v>
      </c>
      <c r="B14" s="45">
        <f t="shared" si="4"/>
        <v>411.30900000000003</v>
      </c>
      <c r="C14" s="6">
        <v>4533.1530000000002</v>
      </c>
      <c r="D14" s="6">
        <f>(40245.8*1.10231)/1000</f>
        <v>44.363347798</v>
      </c>
      <c r="E14" s="6">
        <f t="shared" si="1"/>
        <v>4988.8253477980006</v>
      </c>
      <c r="F14" s="6"/>
      <c r="G14" s="6">
        <f t="shared" si="2"/>
        <v>3261.1777285130011</v>
      </c>
      <c r="H14" s="6">
        <f>(1176523.5*1.10231)/1000</f>
        <v>1296.8936192849999</v>
      </c>
      <c r="I14" s="5">
        <f t="shared" si="3"/>
        <v>4558.0713477980007</v>
      </c>
      <c r="J14" s="6">
        <v>430.75400000000002</v>
      </c>
      <c r="K14" s="95"/>
      <c r="L14" s="99"/>
    </row>
    <row r="15" spans="1:12" ht="14.25">
      <c r="A15" s="15" t="s">
        <v>43</v>
      </c>
      <c r="B15" s="45">
        <f t="shared" si="4"/>
        <v>430.75400000000002</v>
      </c>
      <c r="C15" s="6">
        <v>4089.9549999999999</v>
      </c>
      <c r="D15" s="6">
        <f>(46708.1*1.10231)/1000</f>
        <v>51.486805710999995</v>
      </c>
      <c r="E15" s="6">
        <f t="shared" si="1"/>
        <v>4572.1958057109996</v>
      </c>
      <c r="F15" s="6"/>
      <c r="G15" s="6">
        <f t="shared" si="2"/>
        <v>3111.5948929989995</v>
      </c>
      <c r="H15" s="6">
        <f>(974975.2*1.10231)/1000</f>
        <v>1074.7249127119999</v>
      </c>
      <c r="I15" s="5">
        <f t="shared" si="3"/>
        <v>4186.3198057109994</v>
      </c>
      <c r="J15" s="6">
        <v>385.87600000000003</v>
      </c>
      <c r="K15" s="95"/>
      <c r="L15" s="99"/>
    </row>
    <row r="16" spans="1:12" ht="14.25">
      <c r="A16" s="15" t="s">
        <v>45</v>
      </c>
      <c r="B16" s="45">
        <f t="shared" si="4"/>
        <v>385.87600000000003</v>
      </c>
      <c r="C16" s="6">
        <v>4549.6310000000003</v>
      </c>
      <c r="D16" s="6">
        <f>(36595.5*1.10231)/1000</f>
        <v>40.339585604999996</v>
      </c>
      <c r="E16" s="6">
        <f t="shared" si="1"/>
        <v>4975.8465856050007</v>
      </c>
      <c r="F16" s="6"/>
      <c r="G16" s="6">
        <f t="shared" si="2"/>
        <v>3358.6433219240007</v>
      </c>
      <c r="H16" s="6">
        <f>(1121495.1*1.10231)/1000</f>
        <v>1236.2352636810001</v>
      </c>
      <c r="I16" s="5">
        <f t="shared" si="3"/>
        <v>4594.8785856050008</v>
      </c>
      <c r="J16" s="6">
        <v>380.96799999999996</v>
      </c>
      <c r="K16" s="95"/>
      <c r="L16" s="99"/>
    </row>
    <row r="17" spans="1:12" ht="14.25">
      <c r="A17" s="15" t="s">
        <v>46</v>
      </c>
      <c r="B17" s="45">
        <f t="shared" si="4"/>
        <v>380.96799999999996</v>
      </c>
      <c r="C17" s="6">
        <v>4254.5450000000001</v>
      </c>
      <c r="D17" s="6">
        <f>(43906*1.10231)/1000</f>
        <v>48.398022859999998</v>
      </c>
      <c r="E17" s="6">
        <f t="shared" si="1"/>
        <v>4683.9110228600002</v>
      </c>
      <c r="F17" s="6"/>
      <c r="G17" s="6">
        <f t="shared" si="2"/>
        <v>3059.0861262310009</v>
      </c>
      <c r="H17" s="6">
        <f>(1070305.9*1.10231)/1000</f>
        <v>1179.8088966289999</v>
      </c>
      <c r="I17" s="5">
        <f t="shared" si="3"/>
        <v>4238.8950228600006</v>
      </c>
      <c r="J17" s="6">
        <v>445.01600000000002</v>
      </c>
      <c r="K17" s="95"/>
      <c r="L17" s="99"/>
    </row>
    <row r="18" spans="1:12" ht="14.25">
      <c r="A18" s="15" t="s">
        <v>47</v>
      </c>
      <c r="B18" s="45">
        <f t="shared" si="4"/>
        <v>445.01600000000002</v>
      </c>
      <c r="C18" s="6">
        <v>4260.0889999999999</v>
      </c>
      <c r="D18" s="100">
        <f>(77175.9*1.10231)/1000</f>
        <v>85.071766328999985</v>
      </c>
      <c r="E18" s="6">
        <f t="shared" si="1"/>
        <v>4790.1767663289993</v>
      </c>
      <c r="F18" s="6"/>
      <c r="G18" s="6">
        <f t="shared" si="2"/>
        <v>3205.4898923439991</v>
      </c>
      <c r="H18" s="100">
        <f>(1016893.5*1.10231)/1000</f>
        <v>1120.931873985</v>
      </c>
      <c r="I18" s="5">
        <f t="shared" si="3"/>
        <v>4326.4217663289992</v>
      </c>
      <c r="J18" s="6">
        <v>463.755</v>
      </c>
      <c r="K18" s="95"/>
      <c r="L18" s="99"/>
    </row>
    <row r="19" spans="1:12" ht="14.25">
      <c r="A19" s="15" t="s">
        <v>49</v>
      </c>
      <c r="B19" s="45">
        <f t="shared" si="4"/>
        <v>463.755</v>
      </c>
      <c r="C19" s="6">
        <v>4106.5650000000005</v>
      </c>
      <c r="D19" s="100">
        <f>(61421.4*1.10231)/1000</f>
        <v>67.705423433999997</v>
      </c>
      <c r="E19" s="6">
        <f t="shared" si="1"/>
        <v>4638.0254234340009</v>
      </c>
      <c r="F19" s="6"/>
      <c r="G19" s="6">
        <f t="shared" si="2"/>
        <v>3118.3433548350013</v>
      </c>
      <c r="H19" s="100">
        <f>(1054492.9*1.10231)/1000</f>
        <v>1162.3780685989998</v>
      </c>
      <c r="I19" s="5">
        <f t="shared" si="3"/>
        <v>4280.7214234340008</v>
      </c>
      <c r="J19" s="6">
        <v>357.30399999999997</v>
      </c>
      <c r="K19" s="95"/>
    </row>
    <row r="20" spans="1:12" ht="14.25">
      <c r="A20" s="15" t="s">
        <v>50</v>
      </c>
      <c r="B20" s="45">
        <f>J19</f>
        <v>357.30399999999997</v>
      </c>
      <c r="C20" s="6">
        <v>4270.28</v>
      </c>
      <c r="D20" s="100">
        <f>(67308.7*1.10231)/1000</f>
        <v>74.195053096999999</v>
      </c>
      <c r="E20" s="6">
        <f t="shared" si="1"/>
        <v>4701.7790530969996</v>
      </c>
      <c r="F20" s="6"/>
      <c r="G20" s="6">
        <f t="shared" si="2"/>
        <v>3245.3890736799999</v>
      </c>
      <c r="H20" s="100">
        <f>(843380.7*1.10231)/1000</f>
        <v>929.66697941699988</v>
      </c>
      <c r="I20" s="5">
        <f t="shared" si="3"/>
        <v>4175.0560530969997</v>
      </c>
      <c r="J20" s="6">
        <v>526.72299999999996</v>
      </c>
      <c r="K20" s="95"/>
    </row>
    <row r="21" spans="1:12" ht="14.25">
      <c r="A21" s="15" t="s">
        <v>51</v>
      </c>
      <c r="B21" s="45">
        <f>J20</f>
        <v>526.72299999999996</v>
      </c>
      <c r="C21" s="6">
        <v>4147.2370000000001</v>
      </c>
      <c r="D21" s="100">
        <f>(45440.9*1.10231)/1000</f>
        <v>50.089958478999996</v>
      </c>
      <c r="E21" s="6">
        <f t="shared" si="1"/>
        <v>4724.0499584790005</v>
      </c>
      <c r="F21" s="6"/>
      <c r="G21" s="6">
        <f t="shared" si="2"/>
        <v>3479.0613874090009</v>
      </c>
      <c r="H21" s="100">
        <f>(813797*1.10231)/1000</f>
        <v>897.0565710699999</v>
      </c>
      <c r="I21" s="5">
        <f t="shared" si="3"/>
        <v>4376.1179584790007</v>
      </c>
      <c r="J21" s="6">
        <v>347.93200000000002</v>
      </c>
      <c r="K21" s="95"/>
    </row>
    <row r="22" spans="1:12" ht="14.25">
      <c r="A22" s="15" t="s">
        <v>37</v>
      </c>
      <c r="B22" s="45">
        <f>J21</f>
        <v>347.93200000000002</v>
      </c>
      <c r="C22" s="6">
        <v>3925.0389999999998</v>
      </c>
      <c r="D22" s="100">
        <f>(51119.1*1.10231)/1000</f>
        <v>56.349095120999991</v>
      </c>
      <c r="E22" s="6">
        <f t="shared" si="1"/>
        <v>4329.3200951209992</v>
      </c>
      <c r="F22" s="6"/>
      <c r="G22" s="6">
        <f t="shared" si="2"/>
        <v>3119.233647263999</v>
      </c>
      <c r="H22" s="100">
        <f>(815704.7*1.10231)/1000</f>
        <v>899.1594478569998</v>
      </c>
      <c r="I22" s="5">
        <f t="shared" si="3"/>
        <v>4018.3930951209991</v>
      </c>
      <c r="J22" s="6">
        <v>310.92700000000002</v>
      </c>
      <c r="K22" s="103"/>
    </row>
    <row r="23" spans="1:12" ht="14.25">
      <c r="A23" s="15" t="s">
        <v>28</v>
      </c>
      <c r="B23" s="45"/>
      <c r="C23" s="6">
        <f>SUM(C11:C22)</f>
        <v>51814.455000000002</v>
      </c>
      <c r="D23" s="6">
        <f>(593762.3*1.10231)/1000</f>
        <v>654.51012091299992</v>
      </c>
      <c r="E23" s="6">
        <f>B11+C23+D23</f>
        <v>52809.751120913003</v>
      </c>
      <c r="F23" s="6"/>
      <c r="G23" s="6">
        <f>SUM(G11:G22)</f>
        <v>38958.712443149998</v>
      </c>
      <c r="H23" s="32">
        <f>(12283397.5*1.10231)/1000</f>
        <v>13540.111898224999</v>
      </c>
      <c r="I23" s="6">
        <f>SUM(I11:I22)</f>
        <v>52498.824231143997</v>
      </c>
      <c r="J23" s="6"/>
      <c r="K23" s="95"/>
    </row>
    <row r="24" spans="1:12" ht="14.25">
      <c r="A24" s="15"/>
      <c r="B24" s="45"/>
      <c r="C24" s="6"/>
      <c r="D24" s="6"/>
      <c r="E24" s="6"/>
      <c r="F24" s="6"/>
      <c r="G24" s="6"/>
      <c r="H24" s="6"/>
      <c r="I24" s="6"/>
      <c r="J24" s="6"/>
      <c r="K24" s="95"/>
    </row>
    <row r="25" spans="1:12" ht="15">
      <c r="A25" s="35" t="s">
        <v>52</v>
      </c>
      <c r="B25" s="45"/>
      <c r="C25" s="6"/>
      <c r="D25" s="6"/>
      <c r="E25" s="6"/>
      <c r="F25" s="6"/>
      <c r="G25" s="6"/>
      <c r="H25" s="6"/>
      <c r="I25" s="6"/>
      <c r="J25" s="6"/>
      <c r="K25" s="95"/>
    </row>
    <row r="26" spans="1:12" ht="14.25">
      <c r="A26" s="15" t="s">
        <v>38</v>
      </c>
      <c r="B26" s="45">
        <f>J22</f>
        <v>310.92700000000002</v>
      </c>
      <c r="C26" s="6">
        <v>4603.3959999999997</v>
      </c>
      <c r="D26" s="6">
        <f>(52509.6*1.10231)/1000</f>
        <v>57.88185717599999</v>
      </c>
      <c r="E26" s="6">
        <f t="shared" ref="E26:E34" si="5">SUM(B26:D26)</f>
        <v>4972.2048571759997</v>
      </c>
      <c r="F26" s="6"/>
      <c r="G26" s="6">
        <f t="shared" ref="G26:G34" si="6">I26-H26</f>
        <v>3639.9264505289998</v>
      </c>
      <c r="H26" s="6">
        <f>(865513.7*1.10231)/1000</f>
        <v>954.06440664699983</v>
      </c>
      <c r="I26" s="5">
        <f t="shared" ref="I26:I34" si="7">E26-J26</f>
        <v>4593.9908571759997</v>
      </c>
      <c r="J26" s="6">
        <v>378.214</v>
      </c>
      <c r="K26" s="95"/>
    </row>
    <row r="27" spans="1:12" ht="14.25">
      <c r="A27" s="15" t="s">
        <v>39</v>
      </c>
      <c r="B27" s="45">
        <f t="shared" ref="B27:B32" si="8">J26</f>
        <v>378.214</v>
      </c>
      <c r="C27" s="6">
        <v>4469.9660000000003</v>
      </c>
      <c r="D27" s="6">
        <f>(53341.5*1.10231)/1000</f>
        <v>58.798868864999996</v>
      </c>
      <c r="E27" s="6">
        <f t="shared" si="5"/>
        <v>4906.9788688650005</v>
      </c>
      <c r="F27" s="6"/>
      <c r="G27" s="6">
        <f t="shared" si="6"/>
        <v>3367.700833154001</v>
      </c>
      <c r="H27" s="6">
        <f>(1079708.1*1.10231)/1000</f>
        <v>1190.173035711</v>
      </c>
      <c r="I27" s="5">
        <f t="shared" si="7"/>
        <v>4557.873868865001</v>
      </c>
      <c r="J27" s="6">
        <v>349.10500000000002</v>
      </c>
      <c r="K27" s="95"/>
    </row>
    <row r="28" spans="1:12" ht="14.25">
      <c r="A28" s="15" t="s">
        <v>41</v>
      </c>
      <c r="B28" s="45">
        <f t="shared" si="8"/>
        <v>349.10500000000002</v>
      </c>
      <c r="C28" s="6">
        <v>4437.4089999999997</v>
      </c>
      <c r="D28" s="6">
        <f>(32194.3*1.10231)/1000</f>
        <v>35.488098832999995</v>
      </c>
      <c r="E28" s="6">
        <f t="shared" si="5"/>
        <v>4822.0020988329989</v>
      </c>
      <c r="F28" s="6"/>
      <c r="G28" s="6">
        <f t="shared" si="6"/>
        <v>3173.9462998459985</v>
      </c>
      <c r="H28" s="6">
        <f>(1081527.7*1.10231)/1000</f>
        <v>1192.1787989869997</v>
      </c>
      <c r="I28" s="5">
        <f t="shared" si="7"/>
        <v>4366.1250988329984</v>
      </c>
      <c r="J28" s="6">
        <v>455.87700000000001</v>
      </c>
      <c r="K28" s="95"/>
    </row>
    <row r="29" spans="1:12" ht="14.25">
      <c r="A29" s="15" t="s">
        <v>42</v>
      </c>
      <c r="B29" s="45">
        <f t="shared" si="8"/>
        <v>455.87700000000001</v>
      </c>
      <c r="C29" s="6">
        <v>4540.9090000000006</v>
      </c>
      <c r="D29" s="6">
        <f>(87357.8*1.10231)/1000</f>
        <v>96.295376517999983</v>
      </c>
      <c r="E29" s="6">
        <f t="shared" si="5"/>
        <v>5093.081376518001</v>
      </c>
      <c r="F29" s="6"/>
      <c r="G29" s="6">
        <f t="shared" si="6"/>
        <v>3101.8863894670012</v>
      </c>
      <c r="H29" s="6">
        <f>(1404622.1*1.10231)/1000</f>
        <v>1548.3289870509998</v>
      </c>
      <c r="I29" s="5">
        <f t="shared" si="7"/>
        <v>4650.215376518001</v>
      </c>
      <c r="J29" s="6">
        <v>442.86599999999999</v>
      </c>
      <c r="K29" s="95"/>
    </row>
    <row r="30" spans="1:12" ht="14.25">
      <c r="A30" s="15" t="s">
        <v>43</v>
      </c>
      <c r="B30" s="45">
        <f t="shared" si="8"/>
        <v>442.86599999999999</v>
      </c>
      <c r="C30" s="6">
        <v>4197.5839999999998</v>
      </c>
      <c r="D30" s="6">
        <f>(40187.2*1.10231)/1000</f>
        <v>44.298752431999993</v>
      </c>
      <c r="E30" s="6">
        <f t="shared" si="5"/>
        <v>4684.7487524319995</v>
      </c>
      <c r="F30" s="6"/>
      <c r="G30" s="6">
        <f t="shared" si="6"/>
        <v>3189.261751647</v>
      </c>
      <c r="H30" s="6">
        <f>(925173.5*1.10231)/1000</f>
        <v>1019.828000785</v>
      </c>
      <c r="I30" s="5">
        <f t="shared" si="7"/>
        <v>4209.0897524319998</v>
      </c>
      <c r="J30" s="6">
        <v>475.65899999999999</v>
      </c>
      <c r="K30" s="110"/>
    </row>
    <row r="31" spans="1:12" ht="14.25">
      <c r="A31" s="15" t="s">
        <v>45</v>
      </c>
      <c r="B31" s="45">
        <f t="shared" si="8"/>
        <v>475.65899999999999</v>
      </c>
      <c r="C31" s="6">
        <v>4698.1610000000001</v>
      </c>
      <c r="D31" s="6">
        <f>(43410.1*1.10231)/1000</f>
        <v>47.851387330999991</v>
      </c>
      <c r="E31" s="6">
        <f t="shared" si="5"/>
        <v>5221.671387331</v>
      </c>
      <c r="F31" s="6"/>
      <c r="G31" s="6">
        <f t="shared" si="6"/>
        <v>3369.7769356149997</v>
      </c>
      <c r="H31" s="6">
        <f>(1336143.6*1.10231)/1000</f>
        <v>1472.8444517160001</v>
      </c>
      <c r="I31" s="5">
        <f t="shared" si="7"/>
        <v>4842.6213873309998</v>
      </c>
      <c r="J31" s="6">
        <v>379.04999999999995</v>
      </c>
      <c r="K31" s="111"/>
    </row>
    <row r="32" spans="1:12" ht="14.25">
      <c r="A32" s="15" t="s">
        <v>46</v>
      </c>
      <c r="B32" s="45">
        <f t="shared" si="8"/>
        <v>379.04999999999995</v>
      </c>
      <c r="C32" s="6">
        <v>4433.6350000000002</v>
      </c>
      <c r="D32" s="6">
        <f>(25951.8*1.10231)/1000</f>
        <v>28.606928657999998</v>
      </c>
      <c r="E32" s="6">
        <f t="shared" si="5"/>
        <v>4841.291928658</v>
      </c>
      <c r="F32" s="6"/>
      <c r="G32" s="6">
        <f t="shared" si="6"/>
        <v>3019.334526696</v>
      </c>
      <c r="H32" s="6">
        <f>(1128650.2*1.10231)/1000</f>
        <v>1244.1224019619999</v>
      </c>
      <c r="I32" s="5">
        <f t="shared" si="7"/>
        <v>4263.4569286579999</v>
      </c>
      <c r="J32" s="6">
        <v>577.83499999999992</v>
      </c>
      <c r="K32" s="111"/>
    </row>
    <row r="33" spans="1:11" ht="14.25">
      <c r="A33" s="15" t="s">
        <v>47</v>
      </c>
      <c r="B33" s="45">
        <f>J32</f>
        <v>577.83499999999992</v>
      </c>
      <c r="C33" s="6">
        <v>4461.268</v>
      </c>
      <c r="D33" s="6">
        <f>(50047.9*1.10231)/1000</f>
        <v>55.168300648999995</v>
      </c>
      <c r="E33" s="6">
        <f t="shared" si="5"/>
        <v>5094.2713006490003</v>
      </c>
      <c r="F33" s="6"/>
      <c r="G33" s="6">
        <f t="shared" si="6"/>
        <v>3474.6210888970008</v>
      </c>
      <c r="H33" s="6">
        <f>(1080559.2*1.10231)/1000</f>
        <v>1191.1112117519997</v>
      </c>
      <c r="I33" s="5">
        <f t="shared" si="7"/>
        <v>4665.7323006490005</v>
      </c>
      <c r="J33" s="6">
        <v>428.53899999999999</v>
      </c>
      <c r="K33" s="111"/>
    </row>
    <row r="34" spans="1:11" ht="14.25">
      <c r="A34" s="15" t="s">
        <v>49</v>
      </c>
      <c r="B34" s="45">
        <f>J33</f>
        <v>428.53899999999999</v>
      </c>
      <c r="C34" s="6">
        <v>4152.3280000000004</v>
      </c>
      <c r="D34" s="6">
        <f>(47135.7*1.10231)/1000</f>
        <v>51.958153466999988</v>
      </c>
      <c r="E34" s="6">
        <f t="shared" si="5"/>
        <v>4632.8251534669998</v>
      </c>
      <c r="F34" s="6"/>
      <c r="G34" s="6">
        <f t="shared" si="6"/>
        <v>2878.4011494959996</v>
      </c>
      <c r="H34" s="6">
        <f>(1259954.1*1.10231)/1000</f>
        <v>1388.860003971</v>
      </c>
      <c r="I34" s="5">
        <f t="shared" si="7"/>
        <v>4267.2611534669995</v>
      </c>
      <c r="J34" s="6">
        <v>365.56400000000002</v>
      </c>
      <c r="K34" s="111"/>
    </row>
    <row r="35" spans="1:11" ht="14.25">
      <c r="A35" s="15" t="s">
        <v>50</v>
      </c>
      <c r="B35" s="45">
        <f>J34</f>
        <v>365.56400000000002</v>
      </c>
      <c r="C35" s="6">
        <v>4362.93</v>
      </c>
      <c r="D35" s="6">
        <f>(44990.2*1.10231)/1000</f>
        <v>49.593147361999989</v>
      </c>
      <c r="E35" s="6">
        <f t="shared" ref="E35" si="9">SUM(B35:D35)</f>
        <v>4778.0871473620009</v>
      </c>
      <c r="F35" s="6"/>
      <c r="G35" s="6">
        <f t="shared" ref="G35" si="10">I35-H35</f>
        <v>3114.3274682730016</v>
      </c>
      <c r="H35" s="6">
        <f>(1083371.9*1.10231)/1000</f>
        <v>1194.2116790889997</v>
      </c>
      <c r="I35" s="5">
        <f t="shared" ref="I35" si="11">E35-J35</f>
        <v>4308.5391473620011</v>
      </c>
      <c r="J35" s="6">
        <v>469.548</v>
      </c>
      <c r="K35" s="111"/>
    </row>
    <row r="36" spans="1:11" ht="14.25">
      <c r="A36" s="15" t="s">
        <v>51</v>
      </c>
      <c r="B36" s="45">
        <f>J35</f>
        <v>469.548</v>
      </c>
      <c r="C36" s="6">
        <v>4029.8919999999998</v>
      </c>
      <c r="D36" s="6">
        <f>(49385.1*1.10231)/1000</f>
        <v>54.437689580999994</v>
      </c>
      <c r="E36" s="6">
        <f t="shared" ref="E36:E37" si="12">SUM(B36:D36)</f>
        <v>4553.8776895809997</v>
      </c>
      <c r="F36" s="6"/>
      <c r="G36" s="6">
        <f t="shared" ref="G36:G37" si="13">I36-H36</f>
        <v>3059.2082030979991</v>
      </c>
      <c r="H36" s="6">
        <f>(1068509.3*1.10231)/1000</f>
        <v>1177.828486483</v>
      </c>
      <c r="I36" s="5">
        <f t="shared" ref="I36:I37" si="14">E36-J36</f>
        <v>4237.0366895809993</v>
      </c>
      <c r="J36" s="6">
        <v>316.84100000000001</v>
      </c>
    </row>
    <row r="37" spans="1:11" ht="14.25">
      <c r="A37" s="15" t="s">
        <v>37</v>
      </c>
      <c r="B37" s="45">
        <f>J36</f>
        <v>316.84100000000001</v>
      </c>
      <c r="C37" s="6">
        <v>4105.62</v>
      </c>
      <c r="D37" s="6">
        <f>(46919.3*1.10231)/1000</f>
        <v>51.719613582999997</v>
      </c>
      <c r="E37" s="6">
        <f t="shared" si="12"/>
        <v>4474.1806135830002</v>
      </c>
      <c r="F37" s="6"/>
      <c r="G37" s="6">
        <f t="shared" si="13"/>
        <v>3013.3502875580007</v>
      </c>
      <c r="H37" s="6">
        <f>(988777.5*1.10231)/1000</f>
        <v>1089.9393260249999</v>
      </c>
      <c r="I37" s="5">
        <f t="shared" si="14"/>
        <v>4103.2896135830006</v>
      </c>
      <c r="J37" s="6">
        <v>370.89100000000002</v>
      </c>
    </row>
    <row r="38" spans="1:11" ht="14.25">
      <c r="A38" s="14" t="s">
        <v>28</v>
      </c>
      <c r="B38" s="115"/>
      <c r="C38" s="116">
        <f>SUM(C26:C37)</f>
        <v>52493.097999999998</v>
      </c>
      <c r="D38" s="116">
        <f>(573430.4*1.10231)/1000</f>
        <v>632.09806422399993</v>
      </c>
      <c r="E38" s="116">
        <f>B26+C38+D38</f>
        <v>53436.123064224004</v>
      </c>
      <c r="F38" s="116"/>
      <c r="G38" s="116">
        <f>SUM(G26:G37)</f>
        <v>38401.741384276</v>
      </c>
      <c r="H38" s="116">
        <f>(13302510.8*1.10231131)/1000</f>
        <v>14663.508106237146</v>
      </c>
      <c r="I38" s="152">
        <f>SUM(I26:I37)</f>
        <v>53065.232174455006</v>
      </c>
      <c r="J38" s="116"/>
    </row>
    <row r="39" spans="1:11" ht="16.5">
      <c r="A39" s="46" t="s">
        <v>66</v>
      </c>
      <c r="B39" s="15"/>
      <c r="C39" s="15"/>
      <c r="D39" s="15"/>
      <c r="E39" s="15"/>
      <c r="F39" s="15"/>
      <c r="G39" s="15"/>
      <c r="H39" s="15"/>
      <c r="I39" s="15"/>
      <c r="J39" s="15"/>
    </row>
    <row r="40" spans="1:11" ht="14.25">
      <c r="A40" s="15" t="s">
        <v>67</v>
      </c>
      <c r="B40" s="15"/>
      <c r="C40" s="15"/>
      <c r="D40" s="15"/>
      <c r="E40" s="15"/>
      <c r="F40" s="15"/>
      <c r="G40" s="15"/>
      <c r="H40" s="15"/>
      <c r="I40" s="15"/>
      <c r="J40" s="15"/>
    </row>
    <row r="41" spans="1:11" ht="14.25">
      <c r="A41" s="20" t="s">
        <v>55</v>
      </c>
      <c r="B41" s="41">
        <f>Contents!A16</f>
        <v>45244</v>
      </c>
      <c r="C41" s="38"/>
      <c r="D41" s="33"/>
      <c r="E41" s="33"/>
      <c r="F41" s="33"/>
      <c r="G41" s="33"/>
      <c r="H41" s="33"/>
      <c r="I41" s="33"/>
      <c r="J41" s="33"/>
    </row>
    <row r="42" spans="1:11">
      <c r="B42" s="47"/>
      <c r="C42" s="48"/>
      <c r="D42" s="47"/>
      <c r="E42" s="92"/>
      <c r="F42" s="47"/>
      <c r="G42" s="47"/>
      <c r="H42" s="49"/>
      <c r="I42" s="92"/>
      <c r="J42" s="47"/>
    </row>
    <row r="43" spans="1:11">
      <c r="B43" s="47"/>
      <c r="C43" s="47"/>
      <c r="D43" s="47"/>
      <c r="E43" s="47"/>
      <c r="F43" s="47"/>
      <c r="G43" s="47"/>
      <c r="H43" s="47"/>
      <c r="I43" s="47"/>
      <c r="J43" s="47"/>
    </row>
  </sheetData>
  <mergeCells count="3">
    <mergeCell ref="G2:I2"/>
    <mergeCell ref="B5:J5"/>
    <mergeCell ref="B2:E2"/>
  </mergeCells>
  <phoneticPr fontId="38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43"/>
  <sheetViews>
    <sheetView showGridLines="0" zoomScale="70" zoomScaleNormal="70" workbookViewId="0"/>
  </sheetViews>
  <sheetFormatPr defaultColWidth="9.140625" defaultRowHeight="12.75"/>
  <cols>
    <col min="1" max="1" width="15.42578125" customWidth="1"/>
    <col min="2" max="2" width="12.28515625" bestFit="1" customWidth="1"/>
    <col min="3" max="3" width="12.140625" bestFit="1" customWidth="1"/>
    <col min="4" max="4" width="11" bestFit="1" customWidth="1"/>
    <col min="5" max="5" width="12.28515625" customWidth="1"/>
    <col min="6" max="6" width="3.7109375" customWidth="1"/>
    <col min="7" max="7" width="11.5703125" bestFit="1" customWidth="1"/>
    <col min="8" max="8" width="12.28515625" customWidth="1"/>
    <col min="9" max="9" width="12.7109375" customWidth="1"/>
    <col min="10" max="10" width="9.7109375" bestFit="1" customWidth="1"/>
    <col min="11" max="11" width="11.5703125" bestFit="1" customWidth="1"/>
    <col min="12" max="12" width="12.5703125" bestFit="1" customWidth="1"/>
    <col min="14" max="14" width="11.140625" customWidth="1"/>
  </cols>
  <sheetData>
    <row r="1" spans="1:14" ht="14.25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4" ht="14.25">
      <c r="A2" s="15"/>
      <c r="B2" s="196" t="s">
        <v>56</v>
      </c>
      <c r="C2" s="196"/>
      <c r="D2" s="196"/>
      <c r="E2" s="196"/>
      <c r="F2" s="15"/>
      <c r="G2" s="196" t="s">
        <v>57</v>
      </c>
      <c r="H2" s="196"/>
      <c r="I2" s="196"/>
      <c r="J2" s="136"/>
      <c r="K2" s="136"/>
      <c r="L2" s="15"/>
    </row>
    <row r="3" spans="1:14" ht="14.25">
      <c r="A3" s="15" t="s">
        <v>17</v>
      </c>
      <c r="B3" s="17" t="s">
        <v>68</v>
      </c>
      <c r="C3" s="17" t="s">
        <v>26</v>
      </c>
      <c r="D3" s="17" t="s">
        <v>69</v>
      </c>
      <c r="E3" s="17" t="s">
        <v>61</v>
      </c>
      <c r="F3" s="17"/>
      <c r="G3" s="136" t="s">
        <v>62</v>
      </c>
      <c r="H3" s="136"/>
      <c r="I3" s="136"/>
      <c r="J3" s="17" t="s">
        <v>70</v>
      </c>
      <c r="K3" s="17" t="s">
        <v>61</v>
      </c>
      <c r="L3" s="17" t="s">
        <v>58</v>
      </c>
    </row>
    <row r="4" spans="1:14" ht="16.5">
      <c r="A4" s="21" t="s">
        <v>59</v>
      </c>
      <c r="B4" s="23" t="s">
        <v>60</v>
      </c>
      <c r="C4" s="24"/>
      <c r="D4" s="24"/>
      <c r="E4" s="24"/>
      <c r="F4" s="24"/>
      <c r="G4" s="23" t="s">
        <v>28</v>
      </c>
      <c r="H4" s="23" t="s">
        <v>71</v>
      </c>
      <c r="I4" s="23" t="s">
        <v>72</v>
      </c>
      <c r="J4" s="24"/>
      <c r="K4" s="24"/>
      <c r="L4" s="17" t="s">
        <v>64</v>
      </c>
    </row>
    <row r="5" spans="1:14" ht="14.25">
      <c r="A5" s="15"/>
      <c r="B5" s="198" t="s">
        <v>73</v>
      </c>
      <c r="C5" s="198"/>
      <c r="D5" s="198"/>
      <c r="E5" s="198"/>
      <c r="F5" s="198"/>
      <c r="G5" s="198"/>
      <c r="H5" s="198"/>
      <c r="I5" s="198"/>
      <c r="J5" s="198"/>
      <c r="K5" s="198"/>
      <c r="L5" s="198"/>
    </row>
    <row r="6" spans="1:14" ht="16.5">
      <c r="A6" s="15" t="s">
        <v>74</v>
      </c>
      <c r="B6" s="44">
        <v>2131.2330000000002</v>
      </c>
      <c r="C6" s="44">
        <f>C23</f>
        <v>26155.173000000003</v>
      </c>
      <c r="D6" s="44">
        <f>D23</f>
        <v>302.9653281816</v>
      </c>
      <c r="E6" s="44">
        <f>E23</f>
        <v>28589.371328181602</v>
      </c>
      <c r="F6" s="44"/>
      <c r="G6" s="44">
        <f>K6-J6</f>
        <v>24827.303827434</v>
      </c>
      <c r="H6" s="44">
        <v>10378.75</v>
      </c>
      <c r="I6" s="32">
        <f>G6-H6</f>
        <v>14448.553827434</v>
      </c>
      <c r="J6" s="44">
        <f>J23</f>
        <v>1770.9195007476001</v>
      </c>
      <c r="K6" s="44">
        <f>E6-L6</f>
        <v>26598.223328181601</v>
      </c>
      <c r="L6" s="44">
        <f>L22</f>
        <v>1991.1480000000001</v>
      </c>
    </row>
    <row r="7" spans="1:14" ht="16.5">
      <c r="A7" s="15" t="s">
        <v>75</v>
      </c>
      <c r="B7" s="44">
        <f>L6</f>
        <v>1991.1480000000001</v>
      </c>
      <c r="C7" s="44">
        <f>C38</f>
        <v>26227.309000000001</v>
      </c>
      <c r="D7" s="44">
        <f t="shared" ref="D7:E7" si="0">D38</f>
        <v>375.69933535679996</v>
      </c>
      <c r="E7" s="44">
        <f t="shared" si="0"/>
        <v>28594.156335356802</v>
      </c>
      <c r="F7" s="44"/>
      <c r="G7" s="44">
        <f>K7-J7</f>
        <v>26613.846401643801</v>
      </c>
      <c r="H7" s="44">
        <v>12400</v>
      </c>
      <c r="I7" s="32">
        <f>G7-H7</f>
        <v>14213.846401643801</v>
      </c>
      <c r="J7" s="44">
        <f>J38</f>
        <v>378.07393371299997</v>
      </c>
      <c r="K7" s="44">
        <f>E7-L7</f>
        <v>26991.920335356801</v>
      </c>
      <c r="L7" s="44">
        <f>L37</f>
        <v>1602.2360000000001</v>
      </c>
    </row>
    <row r="8" spans="1:14" ht="16.5">
      <c r="A8" s="15" t="s">
        <v>36</v>
      </c>
      <c r="B8" s="44">
        <f>L7</f>
        <v>1602.2360000000001</v>
      </c>
      <c r="C8" s="44">
        <v>27025</v>
      </c>
      <c r="D8" s="44">
        <v>400</v>
      </c>
      <c r="E8" s="44">
        <f>SUM(B8:D8)</f>
        <v>29027.236000000001</v>
      </c>
      <c r="F8" s="44"/>
      <c r="G8" s="44">
        <f>SUM(H8:I8)</f>
        <v>27100</v>
      </c>
      <c r="H8" s="44">
        <v>12800</v>
      </c>
      <c r="I8" s="32">
        <v>14300</v>
      </c>
      <c r="J8" s="44">
        <v>350</v>
      </c>
      <c r="K8" s="44">
        <f>G8+J8</f>
        <v>27450</v>
      </c>
      <c r="L8" s="44">
        <f>E8-K8</f>
        <v>1577.2360000000008</v>
      </c>
    </row>
    <row r="9" spans="1:14" ht="14.25">
      <c r="A9" s="15"/>
      <c r="B9" s="44"/>
      <c r="C9" s="44"/>
      <c r="D9" s="44"/>
      <c r="E9" s="44"/>
      <c r="F9" s="44"/>
      <c r="G9" s="44"/>
      <c r="H9" s="44"/>
      <c r="I9" s="89"/>
      <c r="J9" s="44"/>
      <c r="K9" s="44"/>
      <c r="L9" s="44"/>
    </row>
    <row r="10" spans="1:14" ht="15">
      <c r="A10" s="35" t="s">
        <v>34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14" ht="14.25">
      <c r="A11" s="15" t="s">
        <v>38</v>
      </c>
      <c r="B11" s="5">
        <f>B6</f>
        <v>2131.2330000000002</v>
      </c>
      <c r="C11" s="6">
        <v>2347.58</v>
      </c>
      <c r="D11" s="6">
        <f>(16251.7*2204.622)/1000000</f>
        <v>35.828855357400002</v>
      </c>
      <c r="E11" s="6">
        <f t="shared" ref="E11:E15" si="1">SUM(B11:D11)</f>
        <v>4514.6418553574003</v>
      </c>
      <c r="F11" s="5"/>
      <c r="G11" s="5">
        <f t="shared" ref="G11:G22" si="2">K11-J11</f>
        <v>2071.2935508996002</v>
      </c>
      <c r="H11" s="13">
        <v>832.42700000000002</v>
      </c>
      <c r="I11" s="6">
        <f t="shared" ref="I11:I22" si="3">G11-H11</f>
        <v>1238.8665508996</v>
      </c>
      <c r="J11" s="6">
        <f>(25859.9*2204.622)/1000000</f>
        <v>57.011304457800001</v>
      </c>
      <c r="K11" s="6">
        <f t="shared" ref="K11:K22" si="4">E11-L11</f>
        <v>2128.3048553574004</v>
      </c>
      <c r="L11" s="5">
        <v>2386.337</v>
      </c>
      <c r="N11" s="99"/>
    </row>
    <row r="12" spans="1:14" ht="14.25">
      <c r="A12" s="15" t="s">
        <v>39</v>
      </c>
      <c r="B12" s="5">
        <f t="shared" ref="B12:B22" si="5">L11</f>
        <v>2386.337</v>
      </c>
      <c r="C12" s="6">
        <v>2235.37</v>
      </c>
      <c r="D12" s="6">
        <f>(15479.7*2204.622)/1000000</f>
        <v>34.1268871734</v>
      </c>
      <c r="E12" s="6">
        <f t="shared" si="1"/>
        <v>4655.8338871734004</v>
      </c>
      <c r="F12" s="5"/>
      <c r="G12" s="5">
        <f t="shared" si="2"/>
        <v>2020.5919628710003</v>
      </c>
      <c r="H12" s="13">
        <v>818.01271279999992</v>
      </c>
      <c r="I12" s="6">
        <f t="shared" si="3"/>
        <v>1202.5792500710004</v>
      </c>
      <c r="J12" s="6">
        <f>(103999.2*2204.622)/1000000</f>
        <v>229.27892430239996</v>
      </c>
      <c r="K12" s="6">
        <f t="shared" si="4"/>
        <v>2249.8708871734002</v>
      </c>
      <c r="L12" s="5">
        <v>2405.9630000000002</v>
      </c>
      <c r="N12" s="99"/>
    </row>
    <row r="13" spans="1:14" ht="14.25">
      <c r="A13" s="15" t="s">
        <v>41</v>
      </c>
      <c r="B13" s="5">
        <f t="shared" si="5"/>
        <v>2405.9630000000002</v>
      </c>
      <c r="C13" s="6">
        <v>2324.183</v>
      </c>
      <c r="D13" s="6">
        <f>(14315.6*2204.622)/1000000</f>
        <v>31.560486703199999</v>
      </c>
      <c r="E13" s="6">
        <f t="shared" si="1"/>
        <v>4761.7064867032004</v>
      </c>
      <c r="F13" s="53"/>
      <c r="G13" s="5">
        <f>K13-J13</f>
        <v>2130.6668117588006</v>
      </c>
      <c r="H13" s="13">
        <v>938.34100000000001</v>
      </c>
      <c r="I13" s="6">
        <f t="shared" si="3"/>
        <v>1192.3258117588007</v>
      </c>
      <c r="J13" s="6">
        <f>(74910.2*2204.622)/1000000</f>
        <v>165.14867494439997</v>
      </c>
      <c r="K13" s="6">
        <f t="shared" si="4"/>
        <v>2295.8154867032003</v>
      </c>
      <c r="L13" s="5">
        <v>2465.8910000000001</v>
      </c>
      <c r="N13" s="99"/>
    </row>
    <row r="14" spans="1:14" ht="14.25">
      <c r="A14" s="15" t="s">
        <v>42</v>
      </c>
      <c r="B14" s="5">
        <f t="shared" si="5"/>
        <v>2465.8910000000001</v>
      </c>
      <c r="C14" s="6">
        <v>2277.355</v>
      </c>
      <c r="D14" s="6">
        <f>(7350.9*2204.622)/1000000</f>
        <v>16.2059558598</v>
      </c>
      <c r="E14" s="6">
        <f t="shared" si="1"/>
        <v>4759.4519558598004</v>
      </c>
      <c r="F14" s="53"/>
      <c r="G14" s="5">
        <f t="shared" si="2"/>
        <v>1975.3277087556003</v>
      </c>
      <c r="H14" s="118">
        <v>791.48900000000003</v>
      </c>
      <c r="I14" s="6">
        <f t="shared" si="3"/>
        <v>1183.8387087556002</v>
      </c>
      <c r="J14" s="6">
        <f>(128911.1*2204.622)/1000000</f>
        <v>284.2002471042</v>
      </c>
      <c r="K14" s="6">
        <f t="shared" si="4"/>
        <v>2259.5279558598004</v>
      </c>
      <c r="L14" s="5">
        <v>2499.924</v>
      </c>
      <c r="N14" s="99"/>
    </row>
    <row r="15" spans="1:14" ht="14.25">
      <c r="A15" s="15" t="s">
        <v>43</v>
      </c>
      <c r="B15" s="5">
        <f t="shared" si="5"/>
        <v>2499.924</v>
      </c>
      <c r="C15" s="6">
        <v>2064.1990000000001</v>
      </c>
      <c r="D15" s="6">
        <f>(9698.9*2204.622)/1000000</f>
        <v>21.382408315799996</v>
      </c>
      <c r="E15" s="6">
        <f t="shared" si="1"/>
        <v>4585.5054083157993</v>
      </c>
      <c r="F15" s="53"/>
      <c r="G15" s="5">
        <f t="shared" si="2"/>
        <v>1784.6374709481993</v>
      </c>
      <c r="H15" s="118">
        <v>758.13099999999997</v>
      </c>
      <c r="I15" s="6">
        <f t="shared" si="3"/>
        <v>1026.5064709481994</v>
      </c>
      <c r="J15" s="6">
        <f>(106485.8*2204.622)/1000000</f>
        <v>234.76093736760001</v>
      </c>
      <c r="K15" s="6">
        <f t="shared" si="4"/>
        <v>2019.3984083157993</v>
      </c>
      <c r="L15" s="5">
        <v>2566.107</v>
      </c>
      <c r="N15" s="99"/>
    </row>
    <row r="16" spans="1:14" ht="14.25">
      <c r="A16" s="15" t="s">
        <v>45</v>
      </c>
      <c r="B16" s="5">
        <f t="shared" si="5"/>
        <v>2566.107</v>
      </c>
      <c r="C16" s="6">
        <v>2277.5410000000002</v>
      </c>
      <c r="D16" s="6">
        <f>(10065.2*2204.622)/1000000</f>
        <v>22.189961354400001</v>
      </c>
      <c r="E16" s="6">
        <f t="shared" ref="E16:E22" si="6">SUM(B16:D16)</f>
        <v>4865.8379613544002</v>
      </c>
      <c r="F16" s="53"/>
      <c r="G16" s="5">
        <f t="shared" si="2"/>
        <v>2155.9277832030002</v>
      </c>
      <c r="H16" s="118">
        <v>919.11900000000003</v>
      </c>
      <c r="I16" s="6">
        <f t="shared" si="3"/>
        <v>1236.8087832030001</v>
      </c>
      <c r="J16" s="6">
        <f>(125278.7*2204.622)/1000000</f>
        <v>276.19217815139996</v>
      </c>
      <c r="K16" s="6">
        <f t="shared" si="4"/>
        <v>2432.1199613543999</v>
      </c>
      <c r="L16" s="5">
        <v>2433.7180000000003</v>
      </c>
      <c r="N16" s="99"/>
    </row>
    <row r="17" spans="1:14" ht="14.25">
      <c r="A17" s="15" t="s">
        <v>46</v>
      </c>
      <c r="B17" s="5">
        <f t="shared" si="5"/>
        <v>2433.7180000000003</v>
      </c>
      <c r="C17" s="6">
        <v>2143.1179999999999</v>
      </c>
      <c r="D17" s="6">
        <f>(10661.9*2204.622)/1000000</f>
        <v>23.505459301799998</v>
      </c>
      <c r="E17" s="6">
        <f t="shared" si="6"/>
        <v>4600.3414593018006</v>
      </c>
      <c r="F17" s="53"/>
      <c r="G17" s="5">
        <f t="shared" si="2"/>
        <v>2018.5597328586007</v>
      </c>
      <c r="H17" s="119">
        <v>842.00099999999998</v>
      </c>
      <c r="I17" s="6">
        <f t="shared" si="3"/>
        <v>1176.5587328586007</v>
      </c>
      <c r="J17" s="6">
        <f>(71485.6*2204.622)/1000000</f>
        <v>157.59872644319998</v>
      </c>
      <c r="K17" s="6">
        <f t="shared" si="4"/>
        <v>2176.1584593018006</v>
      </c>
      <c r="L17" s="5">
        <v>2424.183</v>
      </c>
      <c r="N17" s="99"/>
    </row>
    <row r="18" spans="1:14" ht="14.25">
      <c r="A18" s="15" t="s">
        <v>47</v>
      </c>
      <c r="B18" s="5">
        <f t="shared" si="5"/>
        <v>2424.183</v>
      </c>
      <c r="C18" s="6">
        <v>2158.7739999999999</v>
      </c>
      <c r="D18" s="100">
        <f>(11291.8*2204.622)/1000000</f>
        <v>24.894150699599997</v>
      </c>
      <c r="E18" s="6">
        <f t="shared" si="6"/>
        <v>4607.8511506996001</v>
      </c>
      <c r="F18" s="53"/>
      <c r="G18" s="5">
        <f t="shared" si="2"/>
        <v>2149.5948740757999</v>
      </c>
      <c r="H18" s="119">
        <v>855.74599999999998</v>
      </c>
      <c r="I18" s="6">
        <f>G18-H18</f>
        <v>1293.8488740757998</v>
      </c>
      <c r="J18" s="100">
        <f>(33512.9*2204.622)/1000000</f>
        <v>73.8832766238</v>
      </c>
      <c r="K18" s="6">
        <f t="shared" si="4"/>
        <v>2223.4781506996001</v>
      </c>
      <c r="L18" s="5">
        <v>2384.373</v>
      </c>
      <c r="N18" s="99"/>
    </row>
    <row r="19" spans="1:14" ht="14.25">
      <c r="A19" s="15" t="s">
        <v>49</v>
      </c>
      <c r="B19" s="5">
        <f t="shared" si="5"/>
        <v>2384.373</v>
      </c>
      <c r="C19" s="6">
        <v>2068.578</v>
      </c>
      <c r="D19" s="100">
        <f>(10963.6*2204.622)/1000000</f>
        <v>24.170593759199999</v>
      </c>
      <c r="E19" s="6">
        <f t="shared" si="6"/>
        <v>4477.1215937591996</v>
      </c>
      <c r="F19" s="53"/>
      <c r="G19" s="5">
        <f t="shared" si="2"/>
        <v>2088.6787772001999</v>
      </c>
      <c r="H19" s="119">
        <v>809.79899999999998</v>
      </c>
      <c r="I19" s="6">
        <f t="shared" si="3"/>
        <v>1278.8797772001999</v>
      </c>
      <c r="J19" s="100">
        <f>(33084.5*2204.622)/1000000</f>
        <v>72.938816559000003</v>
      </c>
      <c r="K19" s="6">
        <f t="shared" si="4"/>
        <v>2161.6175937591997</v>
      </c>
      <c r="L19" s="5">
        <v>2315.5039999999999</v>
      </c>
    </row>
    <row r="20" spans="1:14" ht="14.25">
      <c r="A20" s="15" t="s">
        <v>50</v>
      </c>
      <c r="B20" s="5">
        <f t="shared" si="5"/>
        <v>2315.5039999999999</v>
      </c>
      <c r="C20" s="6">
        <v>2169.9299999999998</v>
      </c>
      <c r="D20" s="100">
        <f>(11379.9*2204.622)/1000000</f>
        <v>25.088377897799997</v>
      </c>
      <c r="E20" s="6">
        <f t="shared" si="6"/>
        <v>4510.5223778977988</v>
      </c>
      <c r="F20" s="53"/>
      <c r="G20" s="5">
        <f t="shared" si="2"/>
        <v>2125.602306053599</v>
      </c>
      <c r="H20" s="119">
        <v>956.48800000000006</v>
      </c>
      <c r="I20" s="6">
        <f t="shared" si="3"/>
        <v>1169.114306053599</v>
      </c>
      <c r="J20" s="100">
        <f>(53581.1*2204.622)/1000000</f>
        <v>118.12607184419998</v>
      </c>
      <c r="K20" s="6">
        <f t="shared" si="4"/>
        <v>2243.728377897799</v>
      </c>
      <c r="L20" s="5">
        <v>2266.7939999999999</v>
      </c>
    </row>
    <row r="21" spans="1:14" ht="14.25">
      <c r="A21" s="15" t="s">
        <v>51</v>
      </c>
      <c r="B21" s="5">
        <f t="shared" si="5"/>
        <v>2266.7939999999999</v>
      </c>
      <c r="C21" s="6">
        <v>2095.5810000000001</v>
      </c>
      <c r="D21" s="100">
        <f>(9635.1*2204.622)/1000000</f>
        <v>21.241753432199999</v>
      </c>
      <c r="E21" s="6">
        <f t="shared" si="6"/>
        <v>4383.6167534322003</v>
      </c>
      <c r="F21" s="53"/>
      <c r="G21" s="5">
        <f t="shared" si="2"/>
        <v>2223.0527249938004</v>
      </c>
      <c r="H21" s="119">
        <v>924.71799999999996</v>
      </c>
      <c r="I21" s="6">
        <f t="shared" si="3"/>
        <v>1298.3347249938006</v>
      </c>
      <c r="J21" s="100">
        <f>(25787.2*2204.622)/1000000</f>
        <v>56.8510284384</v>
      </c>
      <c r="K21" s="6">
        <f t="shared" si="4"/>
        <v>2279.9037534322006</v>
      </c>
      <c r="L21" s="5">
        <v>2103.7129999999997</v>
      </c>
    </row>
    <row r="22" spans="1:14" ht="14.25">
      <c r="A22" s="15" t="s">
        <v>37</v>
      </c>
      <c r="B22" s="5">
        <f t="shared" si="5"/>
        <v>2103.7129999999997</v>
      </c>
      <c r="C22" s="6">
        <v>1992.9639999999999</v>
      </c>
      <c r="D22" s="100">
        <f>(10328.5*2204.622)/1000000</f>
        <v>22.770438327000001</v>
      </c>
      <c r="E22" s="6">
        <f t="shared" si="6"/>
        <v>4119.4474383269999</v>
      </c>
      <c r="F22" s="53"/>
      <c r="G22" s="5">
        <f t="shared" si="2"/>
        <v>2083.3701238157996</v>
      </c>
      <c r="H22" s="119">
        <v>932.48199999999997</v>
      </c>
      <c r="I22" s="6">
        <f t="shared" si="3"/>
        <v>1150.8881238157996</v>
      </c>
      <c r="J22" s="100">
        <f>(20379.6*2204.622)/1000000</f>
        <v>44.929314511199998</v>
      </c>
      <c r="K22" s="6">
        <f t="shared" si="4"/>
        <v>2128.2994383269997</v>
      </c>
      <c r="L22" s="5">
        <v>1991.1480000000001</v>
      </c>
    </row>
    <row r="23" spans="1:14" ht="14.25">
      <c r="A23" s="15" t="s">
        <v>28</v>
      </c>
      <c r="B23" s="5"/>
      <c r="C23" s="6">
        <f>SUM(C11:C22)</f>
        <v>26155.173000000003</v>
      </c>
      <c r="D23" s="6">
        <f>(137422.8*2204.622)/1000000</f>
        <v>302.9653281816</v>
      </c>
      <c r="E23" s="6">
        <f>B11+C23+D23</f>
        <v>28589.371328181602</v>
      </c>
      <c r="F23" s="5"/>
      <c r="G23" s="5">
        <f>SUM(G11:G22)</f>
        <v>24827.303827433996</v>
      </c>
      <c r="H23" s="119">
        <f>SUM(H11:H22)</f>
        <v>10378.7537128</v>
      </c>
      <c r="I23" s="6">
        <f>SUM(I11:I22)</f>
        <v>14448.550114633999</v>
      </c>
      <c r="J23" s="6">
        <f>(803275.8*2204.622)/1000000</f>
        <v>1770.9195007476001</v>
      </c>
      <c r="K23" s="5">
        <f>SUM(K11:K22)</f>
        <v>26598.223328181601</v>
      </c>
      <c r="L23" s="5"/>
    </row>
    <row r="24" spans="1:14" ht="14.25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5">
      <c r="A25" s="35" t="s">
        <v>52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4.25">
      <c r="A26" s="15" t="s">
        <v>38</v>
      </c>
      <c r="B26" s="5">
        <f>L22</f>
        <v>1991.1480000000001</v>
      </c>
      <c r="C26" s="6">
        <v>2338.085</v>
      </c>
      <c r="D26" s="6">
        <f>(13491.4*2204.622)/1000000</f>
        <v>29.7434372508</v>
      </c>
      <c r="E26" s="6">
        <f t="shared" ref="E26:E33" si="7">SUM(B26:D26)</f>
        <v>4358.9764372507998</v>
      </c>
      <c r="F26" s="5"/>
      <c r="G26" s="5">
        <f t="shared" ref="G26:G33" si="8">K26-J26</f>
        <v>2241.8177746275996</v>
      </c>
      <c r="H26" s="120">
        <v>906.40899999999999</v>
      </c>
      <c r="I26" s="6">
        <f t="shared" ref="I26:I32" si="9">G26-H26</f>
        <v>1335.4087746275995</v>
      </c>
      <c r="J26" s="6">
        <f>(10675.6*2204.622)/1000000</f>
        <v>23.5356626232</v>
      </c>
      <c r="K26" s="6">
        <f t="shared" ref="K26:K32" si="10">E26-L26</f>
        <v>2265.3534372507997</v>
      </c>
      <c r="L26" s="5">
        <v>2093.623</v>
      </c>
    </row>
    <row r="27" spans="1:14" ht="14.25">
      <c r="A27" s="15" t="s">
        <v>39</v>
      </c>
      <c r="B27" s="5">
        <f t="shared" ref="B27:B33" si="11">L26</f>
        <v>2093.623</v>
      </c>
      <c r="C27" s="6">
        <v>2199.962</v>
      </c>
      <c r="D27" s="6">
        <f>(11744.6*2204.622)/1000000</f>
        <v>25.8924035412</v>
      </c>
      <c r="E27" s="6">
        <f t="shared" si="7"/>
        <v>4319.4774035412001</v>
      </c>
      <c r="F27" s="5"/>
      <c r="G27" s="5">
        <f t="shared" si="8"/>
        <v>2183.7493667224003</v>
      </c>
      <c r="H27" s="120">
        <v>943.34199999999998</v>
      </c>
      <c r="I27" s="6">
        <f t="shared" si="9"/>
        <v>1240.4073667224002</v>
      </c>
      <c r="J27" s="6">
        <f>(10635.4*2204.622)/1000000</f>
        <v>23.447036818799997</v>
      </c>
      <c r="K27" s="6">
        <f t="shared" si="10"/>
        <v>2207.1964035412002</v>
      </c>
      <c r="L27" s="5">
        <v>2112.2809999999999</v>
      </c>
    </row>
    <row r="28" spans="1:14" ht="14.25">
      <c r="A28" s="15" t="s">
        <v>41</v>
      </c>
      <c r="B28" s="5">
        <f t="shared" si="11"/>
        <v>2112.2809999999999</v>
      </c>
      <c r="C28" s="6">
        <v>2195.3580000000002</v>
      </c>
      <c r="D28" s="6">
        <f>(10252.4*2204.622)/1000000</f>
        <v>22.602666592799999</v>
      </c>
      <c r="E28" s="6">
        <f t="shared" si="7"/>
        <v>4330.2416665928004</v>
      </c>
      <c r="F28" s="5"/>
      <c r="G28" s="5">
        <f t="shared" si="8"/>
        <v>1989.2481907986005</v>
      </c>
      <c r="H28" s="120">
        <v>885.65899999999999</v>
      </c>
      <c r="I28" s="6">
        <f t="shared" si="9"/>
        <v>1103.5891907986006</v>
      </c>
      <c r="J28" s="6">
        <f>(15806.1*2204.622)/1000000</f>
        <v>34.846475794199996</v>
      </c>
      <c r="K28" s="6">
        <f t="shared" si="10"/>
        <v>2024.0946665928004</v>
      </c>
      <c r="L28" s="5">
        <v>2306.1469999999999</v>
      </c>
    </row>
    <row r="29" spans="1:14" ht="14.25">
      <c r="A29" s="15" t="s">
        <v>42</v>
      </c>
      <c r="B29" s="5">
        <f t="shared" si="11"/>
        <v>2306.1469999999999</v>
      </c>
      <c r="C29" s="6">
        <v>2252.3119999999999</v>
      </c>
      <c r="D29" s="6">
        <f>(11450.2*2204.622)/1000000</f>
        <v>25.243362824400002</v>
      </c>
      <c r="E29" s="6">
        <f t="shared" si="7"/>
        <v>4583.7023628243996</v>
      </c>
      <c r="F29" s="5"/>
      <c r="G29" s="5">
        <f t="shared" si="8"/>
        <v>2211.8930392041998</v>
      </c>
      <c r="H29" s="120">
        <v>940.87400000000002</v>
      </c>
      <c r="I29" s="6">
        <f t="shared" si="9"/>
        <v>1271.0190392041998</v>
      </c>
      <c r="J29" s="6">
        <f>(6989.1*2204.622)/1000000</f>
        <v>15.408323620199999</v>
      </c>
      <c r="K29" s="6">
        <f t="shared" si="10"/>
        <v>2227.3013628243998</v>
      </c>
      <c r="L29" s="5">
        <v>2356.4009999999998</v>
      </c>
    </row>
    <row r="30" spans="1:14" ht="14.25">
      <c r="A30" s="15" t="s">
        <v>43</v>
      </c>
      <c r="B30" s="5">
        <f t="shared" si="11"/>
        <v>2356.4009999999998</v>
      </c>
      <c r="C30" s="6">
        <v>2091.2179999999998</v>
      </c>
      <c r="D30" s="6">
        <f>(15213.2*2204.622)/1000000</f>
        <v>33.539355410399999</v>
      </c>
      <c r="E30" s="6">
        <f t="shared" si="7"/>
        <v>4481.1583554104</v>
      </c>
      <c r="F30" s="5"/>
      <c r="G30" s="5">
        <f t="shared" si="8"/>
        <v>2091.4034745958002</v>
      </c>
      <c r="H30" s="120">
        <v>909.98699999999997</v>
      </c>
      <c r="I30" s="6">
        <f t="shared" si="9"/>
        <v>1181.4164745958001</v>
      </c>
      <c r="J30" s="6">
        <f>(11774.3*2204.622)/1000000</f>
        <v>25.957880814599999</v>
      </c>
      <c r="K30" s="6">
        <f t="shared" si="10"/>
        <v>2117.3613554103999</v>
      </c>
      <c r="L30" s="5">
        <v>2363.797</v>
      </c>
    </row>
    <row r="31" spans="1:14" ht="14.25">
      <c r="A31" s="15" t="s">
        <v>45</v>
      </c>
      <c r="B31" s="5">
        <f t="shared" si="11"/>
        <v>2363.797</v>
      </c>
      <c r="C31" s="6">
        <v>2339.5810000000001</v>
      </c>
      <c r="D31" s="6">
        <f>(15180.8*2204.622)/1000000</f>
        <v>33.467925657599999</v>
      </c>
      <c r="E31" s="6">
        <f t="shared" si="7"/>
        <v>4736.8459256576007</v>
      </c>
      <c r="F31" s="5"/>
      <c r="G31" s="5">
        <f t="shared" si="8"/>
        <v>2336.5298038548008</v>
      </c>
      <c r="H31" s="120">
        <v>952.70299999999997</v>
      </c>
      <c r="I31" s="6">
        <f t="shared" si="9"/>
        <v>1383.8268038548008</v>
      </c>
      <c r="J31" s="6">
        <f>(5807.4*2204.622)/1000000</f>
        <v>12.803121802799998</v>
      </c>
      <c r="K31" s="6">
        <f t="shared" si="10"/>
        <v>2349.3329256576008</v>
      </c>
      <c r="L31" s="5">
        <v>2387.5129999999999</v>
      </c>
    </row>
    <row r="32" spans="1:14" ht="14.25">
      <c r="A32" s="15" t="s">
        <v>46</v>
      </c>
      <c r="B32" s="5">
        <f t="shared" si="11"/>
        <v>2387.5129999999999</v>
      </c>
      <c r="C32" s="6">
        <v>2236.3009999999999</v>
      </c>
      <c r="D32" s="6">
        <f>(15750.7*2204.622)/1000000</f>
        <v>34.724339735400001</v>
      </c>
      <c r="E32" s="6">
        <f t="shared" si="7"/>
        <v>4658.5383397353999</v>
      </c>
      <c r="F32" s="5"/>
      <c r="G32" s="5">
        <f t="shared" si="8"/>
        <v>2058.2364235171999</v>
      </c>
      <c r="H32" s="120">
        <v>926.59799999999996</v>
      </c>
      <c r="I32" s="6">
        <f t="shared" si="9"/>
        <v>1131.6384235172</v>
      </c>
      <c r="J32" s="6">
        <f>(27498.1*2204.622)/1000000</f>
        <v>60.62291621819999</v>
      </c>
      <c r="K32" s="6">
        <f t="shared" si="10"/>
        <v>2118.8593397353998</v>
      </c>
      <c r="L32" s="5">
        <v>2539.6790000000001</v>
      </c>
    </row>
    <row r="33" spans="1:12" ht="14.25">
      <c r="A33" s="15" t="s">
        <v>47</v>
      </c>
      <c r="B33" s="5">
        <f t="shared" si="11"/>
        <v>2539.6790000000001</v>
      </c>
      <c r="C33" s="6">
        <v>2228.3719999999998</v>
      </c>
      <c r="D33" s="6">
        <f>(24574.7*2204.622)/1000000</f>
        <v>54.177924263399994</v>
      </c>
      <c r="E33" s="6">
        <f t="shared" si="7"/>
        <v>4822.2289242633997</v>
      </c>
      <c r="F33" s="5"/>
      <c r="G33" s="5">
        <f t="shared" si="8"/>
        <v>2385.7924694315993</v>
      </c>
      <c r="H33" s="120">
        <v>1140.8710000000001</v>
      </c>
      <c r="I33" s="6">
        <f>G33-H33</f>
        <v>1244.9214694315992</v>
      </c>
      <c r="J33" s="6">
        <f>(22776.9*2204.622)/1000000</f>
        <v>50.214454831799998</v>
      </c>
      <c r="K33" s="6">
        <f>E33-L33</f>
        <v>2436.0069242633995</v>
      </c>
      <c r="L33" s="5">
        <v>2386.2220000000002</v>
      </c>
    </row>
    <row r="34" spans="1:12" ht="14.25">
      <c r="A34" s="15" t="s">
        <v>49</v>
      </c>
      <c r="B34" s="5">
        <f>L33</f>
        <v>2386.2220000000002</v>
      </c>
      <c r="C34" s="6">
        <v>2074.857</v>
      </c>
      <c r="D34" s="6">
        <f>(7900.8*2204.622)/1000000</f>
        <v>17.418277497600002</v>
      </c>
      <c r="E34" s="6">
        <f>SUM(B34:D34)</f>
        <v>4478.4972774975995</v>
      </c>
      <c r="F34" s="5"/>
      <c r="G34" s="5">
        <f>K34-J34</f>
        <v>2235.5639103903995</v>
      </c>
      <c r="H34" s="120">
        <v>1206.92</v>
      </c>
      <c r="I34" s="6">
        <f>G34-H34</f>
        <v>1028.6439103903995</v>
      </c>
      <c r="J34" s="6">
        <f>(18097.6*2204.622)/1000000</f>
        <v>39.898367107199995</v>
      </c>
      <c r="K34" s="6">
        <f>E34-L34</f>
        <v>2275.4622774975996</v>
      </c>
      <c r="L34" s="5">
        <v>2203.0349999999999</v>
      </c>
    </row>
    <row r="35" spans="1:12" ht="14.25">
      <c r="A35" s="15" t="s">
        <v>50</v>
      </c>
      <c r="B35" s="5">
        <f>L34</f>
        <v>2203.0349999999999</v>
      </c>
      <c r="C35" s="6">
        <v>2180.0360000000001</v>
      </c>
      <c r="D35" s="6">
        <f>(12459.1*2204.622)/1000000</f>
        <v>27.4676059602</v>
      </c>
      <c r="E35" s="6">
        <f>SUM(B35:D35)</f>
        <v>4410.5386059601997</v>
      </c>
      <c r="F35" s="5"/>
      <c r="G35" s="5">
        <f>K35-J35</f>
        <v>2237.1172955073994</v>
      </c>
      <c r="H35" s="120">
        <v>1272.7660000000001</v>
      </c>
      <c r="I35" s="131">
        <f>G35-H35</f>
        <v>964.3512955073993</v>
      </c>
      <c r="J35" s="6">
        <f>(16882.4*2204.622)/1000000</f>
        <v>37.219310452799995</v>
      </c>
      <c r="K35" s="6">
        <f>E35-L35</f>
        <v>2274.3366059601994</v>
      </c>
      <c r="L35" s="5">
        <v>2136.2020000000002</v>
      </c>
    </row>
    <row r="36" spans="1:12" ht="14.25">
      <c r="A36" s="15" t="s">
        <v>51</v>
      </c>
      <c r="B36" s="5">
        <f>L35</f>
        <v>2136.2020000000002</v>
      </c>
      <c r="C36" s="133">
        <v>2014.153</v>
      </c>
      <c r="D36" s="6">
        <f>(21101.4*2204.622)/1000000</f>
        <v>46.520610670800004</v>
      </c>
      <c r="E36" s="6">
        <f>SUM(B36:D36)</f>
        <v>4196.8756106708006</v>
      </c>
      <c r="F36" s="5"/>
      <c r="G36" s="5">
        <f>K36-J36</f>
        <v>2398.3625488780008</v>
      </c>
      <c r="H36" s="120">
        <v>1197.1020000000001</v>
      </c>
      <c r="I36" s="142">
        <f>G36-H36</f>
        <v>1201.2605488780007</v>
      </c>
      <c r="J36" s="6">
        <f>(11852.4*2204.622)/1000000</f>
        <v>26.130061792799999</v>
      </c>
      <c r="K36" s="6">
        <f>E36-L36</f>
        <v>2424.4926106708008</v>
      </c>
      <c r="L36" s="5">
        <v>1772.383</v>
      </c>
    </row>
    <row r="37" spans="1:12" ht="14.25">
      <c r="A37" s="15" t="s">
        <v>37</v>
      </c>
      <c r="B37" s="5">
        <f>L36</f>
        <v>1772.383</v>
      </c>
      <c r="C37" s="133">
        <v>2077.0740000000001</v>
      </c>
      <c r="D37" s="6">
        <f>(11295.1*2204.622)/1000000</f>
        <v>24.9014259522</v>
      </c>
      <c r="E37" s="6">
        <f>SUM(B37:D37)</f>
        <v>3874.3584259522004</v>
      </c>
      <c r="F37" s="5"/>
      <c r="G37" s="5">
        <f>K37-J37</f>
        <v>2244.1323245780004</v>
      </c>
      <c r="H37" s="6" t="s">
        <v>76</v>
      </c>
      <c r="I37" s="142" t="s">
        <v>76</v>
      </c>
      <c r="J37" s="6">
        <f>(12696.1*2204.622)/1000000</f>
        <v>27.990101374199998</v>
      </c>
      <c r="K37" s="6">
        <f>E37-L37</f>
        <v>2272.1224259522005</v>
      </c>
      <c r="L37" s="5">
        <v>1602.2360000000001</v>
      </c>
    </row>
    <row r="38" spans="1:12" ht="14.25">
      <c r="A38" s="14" t="s">
        <v>28</v>
      </c>
      <c r="B38" s="152"/>
      <c r="C38" s="153">
        <f>SUM(C26:C37)</f>
        <v>26227.309000000001</v>
      </c>
      <c r="D38" s="116">
        <f>(170414.4*2204.622)/1000000</f>
        <v>375.69933535679996</v>
      </c>
      <c r="E38" s="116">
        <f>B26+C38+D38</f>
        <v>28594.156335356802</v>
      </c>
      <c r="F38" s="152"/>
      <c r="G38" s="152">
        <f>SUM(G26:G37)</f>
        <v>26613.846622106001</v>
      </c>
      <c r="H38" s="116" t="s">
        <v>76</v>
      </c>
      <c r="I38" s="116" t="s">
        <v>76</v>
      </c>
      <c r="J38" s="116">
        <f>(171491.5*2204.622)/1000000</f>
        <v>378.07393371299997</v>
      </c>
      <c r="K38" s="116">
        <f>SUM(K26:K37)</f>
        <v>26991.920335356801</v>
      </c>
      <c r="L38" s="152"/>
    </row>
    <row r="39" spans="1:12" ht="16.5">
      <c r="A39" s="46" t="s">
        <v>77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ht="14.25">
      <c r="A40" s="15" t="s">
        <v>67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4.25">
      <c r="A41" s="20" t="s">
        <v>55</v>
      </c>
      <c r="B41" s="41">
        <f>Contents!A16</f>
        <v>45244</v>
      </c>
      <c r="K41" s="39"/>
    </row>
    <row r="42" spans="1:12">
      <c r="E42" s="39"/>
    </row>
    <row r="43" spans="1:12">
      <c r="H43" s="114"/>
    </row>
  </sheetData>
  <mergeCells count="3">
    <mergeCell ref="B5:L5"/>
    <mergeCell ref="G2:I2"/>
    <mergeCell ref="B2:E2"/>
  </mergeCells>
  <phoneticPr fontId="38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Q54"/>
  <sheetViews>
    <sheetView showGridLines="0" zoomScale="70" zoomScaleNormal="70" workbookViewId="0"/>
  </sheetViews>
  <sheetFormatPr defaultColWidth="9.140625" defaultRowHeight="12.75"/>
  <cols>
    <col min="1" max="1" width="15.28515625" customWidth="1"/>
    <col min="2" max="2" width="13.140625" customWidth="1"/>
    <col min="3" max="3" width="12.140625" customWidth="1"/>
    <col min="4" max="4" width="13.42578125" customWidth="1"/>
    <col min="5" max="5" width="15.28515625" customWidth="1"/>
    <col min="6" max="6" width="11.42578125" customWidth="1"/>
    <col min="7" max="7" width="11.7109375" customWidth="1"/>
    <col min="8" max="8" width="14" customWidth="1"/>
    <col min="9" max="9" width="9.7109375" customWidth="1"/>
    <col min="10" max="11" width="7.7109375" customWidth="1"/>
    <col min="12" max="12" width="8.5703125" customWidth="1"/>
    <col min="13" max="13" width="9.5703125" customWidth="1"/>
    <col min="14" max="14" width="9.7109375" bestFit="1" customWidth="1"/>
    <col min="15" max="15" width="8.28515625" bestFit="1" customWidth="1"/>
    <col min="19" max="19" width="17.42578125" bestFit="1" customWidth="1"/>
    <col min="21" max="21" width="28.28515625" bestFit="1" customWidth="1"/>
  </cols>
  <sheetData>
    <row r="1" spans="1:15" ht="14.25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4.25">
      <c r="A2" s="15"/>
      <c r="B2" s="196" t="s">
        <v>56</v>
      </c>
      <c r="C2" s="196"/>
      <c r="D2" s="196"/>
      <c r="E2" s="196"/>
      <c r="F2" s="77"/>
      <c r="G2" s="196" t="s">
        <v>57</v>
      </c>
      <c r="H2" s="196"/>
      <c r="I2" s="196"/>
      <c r="J2" s="196"/>
      <c r="K2" s="77"/>
      <c r="L2" s="15"/>
      <c r="M2" s="15"/>
      <c r="N2" s="15"/>
      <c r="O2" s="15"/>
    </row>
    <row r="3" spans="1:15" ht="14.25">
      <c r="A3" s="15" t="s">
        <v>17</v>
      </c>
      <c r="B3" s="20" t="s">
        <v>68</v>
      </c>
      <c r="C3" s="20"/>
      <c r="D3" s="20"/>
      <c r="E3" s="20"/>
      <c r="F3" s="20"/>
      <c r="G3" s="20"/>
      <c r="H3" s="20"/>
      <c r="I3" s="20"/>
      <c r="J3" s="20"/>
      <c r="K3" s="17" t="s">
        <v>58</v>
      </c>
      <c r="L3" s="15"/>
      <c r="M3" s="15"/>
      <c r="N3" s="15"/>
      <c r="O3" s="15"/>
    </row>
    <row r="4" spans="1:15" ht="14.25">
      <c r="A4" s="21" t="s">
        <v>78</v>
      </c>
      <c r="B4" s="23" t="s">
        <v>79</v>
      </c>
      <c r="C4" s="62" t="s">
        <v>26</v>
      </c>
      <c r="D4" s="25" t="s">
        <v>69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60</v>
      </c>
      <c r="L4" s="15"/>
      <c r="M4" s="15"/>
      <c r="N4" s="15"/>
      <c r="O4" s="15"/>
    </row>
    <row r="5" spans="1:15" ht="14.25">
      <c r="A5" s="15"/>
      <c r="B5" s="201" t="s">
        <v>84</v>
      </c>
      <c r="C5" s="201"/>
      <c r="D5" s="201"/>
      <c r="E5" s="201"/>
      <c r="F5" s="201"/>
      <c r="G5" s="201"/>
      <c r="H5" s="201"/>
      <c r="I5" s="201"/>
      <c r="J5" s="201"/>
      <c r="K5" s="201"/>
      <c r="L5" s="15"/>
      <c r="M5" s="15"/>
      <c r="N5" s="15"/>
      <c r="O5" s="15"/>
    </row>
    <row r="6" spans="1:15" ht="14.25">
      <c r="A6" s="15" t="s">
        <v>34</v>
      </c>
      <c r="B6" s="79">
        <v>395.43068871102241</v>
      </c>
      <c r="C6" s="79">
        <v>5323</v>
      </c>
      <c r="D6" s="80">
        <v>24.765738432900992</v>
      </c>
      <c r="E6" s="79">
        <f>B6+C6+D6</f>
        <v>5743.1964271439238</v>
      </c>
      <c r="F6" s="81"/>
      <c r="G6" s="79">
        <v>1556.9839999999999</v>
      </c>
      <c r="H6" s="82">
        <v>292.99103926406997</v>
      </c>
      <c r="I6" s="79">
        <f>J6-G6-H6</f>
        <v>3497.8</v>
      </c>
      <c r="J6" s="79">
        <f>E6-K6</f>
        <v>5347.7750392640701</v>
      </c>
      <c r="K6" s="79">
        <v>395.42138787985368</v>
      </c>
      <c r="L6" s="15"/>
      <c r="M6" s="15"/>
      <c r="N6" s="113"/>
      <c r="O6" s="15"/>
    </row>
    <row r="7" spans="1:15" ht="16.5">
      <c r="A7" s="15" t="s">
        <v>35</v>
      </c>
      <c r="B7" s="79">
        <f>K6</f>
        <v>395.42138787985368</v>
      </c>
      <c r="C7" s="79">
        <v>4415</v>
      </c>
      <c r="D7" s="80">
        <v>101.14</v>
      </c>
      <c r="E7" s="79">
        <f>B7+C7+D7</f>
        <v>4911.561387879854</v>
      </c>
      <c r="F7" s="81"/>
      <c r="G7" s="79">
        <v>1389.82</v>
      </c>
      <c r="H7" s="82">
        <v>185.60618629762095</v>
      </c>
      <c r="I7" s="79">
        <f>J7-G7-H7</f>
        <v>2951.0001815292258</v>
      </c>
      <c r="J7" s="79">
        <f>E7-K7</f>
        <v>4526.4263678268462</v>
      </c>
      <c r="K7" s="192">
        <v>385.13502005300779</v>
      </c>
      <c r="L7" s="15"/>
      <c r="M7" s="15"/>
      <c r="N7" s="113"/>
      <c r="O7" s="15"/>
    </row>
    <row r="8" spans="1:15" ht="16.5">
      <c r="A8" s="14" t="s">
        <v>36</v>
      </c>
      <c r="B8" s="183">
        <f>K7</f>
        <v>385.13502005300779</v>
      </c>
      <c r="C8" s="183">
        <v>3985</v>
      </c>
      <c r="D8" s="184">
        <v>50</v>
      </c>
      <c r="E8" s="183">
        <f>B8+C8+D8</f>
        <v>4420.1350200530078</v>
      </c>
      <c r="F8" s="185"/>
      <c r="G8" s="183">
        <v>1350</v>
      </c>
      <c r="H8" s="186">
        <v>225</v>
      </c>
      <c r="I8" s="183">
        <v>2505</v>
      </c>
      <c r="J8" s="183">
        <f>SUM(G8:I8)</f>
        <v>4080</v>
      </c>
      <c r="K8" s="183">
        <f>E8-J8</f>
        <v>340.13502005300779</v>
      </c>
      <c r="L8" s="15"/>
      <c r="M8" s="15"/>
      <c r="N8" s="15"/>
      <c r="O8" s="15"/>
    </row>
    <row r="9" spans="1:15" ht="16.5">
      <c r="A9" s="46" t="s">
        <v>85</v>
      </c>
      <c r="B9" s="15"/>
      <c r="C9" s="78"/>
      <c r="D9" s="78"/>
      <c r="E9" s="78"/>
      <c r="F9" s="78"/>
      <c r="G9" s="83"/>
      <c r="H9" s="78"/>
      <c r="I9" s="78"/>
      <c r="J9" s="78"/>
      <c r="K9" s="15"/>
      <c r="L9" s="15"/>
      <c r="M9" s="15"/>
      <c r="N9" s="15"/>
      <c r="O9" s="15"/>
    </row>
    <row r="10" spans="1:15" ht="14.25">
      <c r="A10" s="15" t="s">
        <v>86</v>
      </c>
      <c r="B10" s="33"/>
      <c r="C10" s="38"/>
      <c r="D10" s="15"/>
      <c r="E10" s="33"/>
      <c r="F10" s="33"/>
      <c r="G10" s="33"/>
      <c r="H10" s="33"/>
      <c r="I10" s="33"/>
      <c r="J10" s="33"/>
      <c r="K10" s="15"/>
      <c r="L10" s="15"/>
      <c r="M10" s="15"/>
      <c r="N10" s="15"/>
      <c r="O10" s="15"/>
    </row>
    <row r="11" spans="1:15" ht="14.25">
      <c r="A11" s="15" t="s">
        <v>87</v>
      </c>
      <c r="B11" s="33"/>
      <c r="C11" s="38"/>
      <c r="D11" s="15"/>
      <c r="E11" s="33"/>
      <c r="F11" s="33"/>
      <c r="G11" s="33"/>
      <c r="H11" s="33"/>
      <c r="I11" s="33"/>
      <c r="J11" s="33"/>
      <c r="K11" s="15"/>
      <c r="L11" s="15"/>
      <c r="M11" s="15"/>
      <c r="N11" s="15"/>
      <c r="O11" s="15"/>
    </row>
    <row r="12" spans="1:15" ht="14.25">
      <c r="A12" s="15"/>
      <c r="B12" s="33"/>
      <c r="C12" s="38"/>
      <c r="D12" s="15"/>
      <c r="E12" s="33"/>
      <c r="F12" s="33"/>
      <c r="G12" s="33"/>
      <c r="H12" s="33"/>
      <c r="I12" s="33"/>
      <c r="J12" s="33"/>
      <c r="K12" s="15"/>
      <c r="L12" s="15"/>
      <c r="M12" s="15"/>
      <c r="N12" s="15"/>
      <c r="O12" s="15"/>
    </row>
    <row r="13" spans="1:15" ht="14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4.25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4.25">
      <c r="A15" s="15"/>
      <c r="B15" s="196" t="s">
        <v>56</v>
      </c>
      <c r="C15" s="196"/>
      <c r="D15" s="196"/>
      <c r="E15" s="196"/>
      <c r="F15" s="15"/>
      <c r="G15" s="196" t="s">
        <v>57</v>
      </c>
      <c r="H15" s="196"/>
      <c r="I15" s="196"/>
      <c r="J15" s="15"/>
      <c r="K15" s="15"/>
      <c r="L15" s="15"/>
      <c r="M15" s="15"/>
      <c r="N15" s="15"/>
      <c r="O15" s="15"/>
    </row>
    <row r="16" spans="1:15" ht="14.25">
      <c r="A16" s="15" t="s">
        <v>17</v>
      </c>
      <c r="B16" s="17" t="s">
        <v>68</v>
      </c>
      <c r="C16" s="20"/>
      <c r="D16" s="20"/>
      <c r="E16" s="20"/>
      <c r="F16" s="20"/>
      <c r="G16" s="20"/>
      <c r="H16" s="20"/>
      <c r="I16" s="20"/>
      <c r="J16" s="17" t="s">
        <v>58</v>
      </c>
      <c r="K16" s="15"/>
      <c r="L16" s="15"/>
      <c r="M16" s="15"/>
      <c r="N16" s="15"/>
      <c r="O16" s="15"/>
    </row>
    <row r="17" spans="1:15" ht="14.25">
      <c r="A17" s="21" t="s">
        <v>59</v>
      </c>
      <c r="B17" s="23" t="s">
        <v>60</v>
      </c>
      <c r="C17" s="62" t="s">
        <v>26</v>
      </c>
      <c r="D17" s="25" t="s">
        <v>69</v>
      </c>
      <c r="E17" s="23" t="s">
        <v>83</v>
      </c>
      <c r="F17" s="24"/>
      <c r="G17" s="79" t="s">
        <v>88</v>
      </c>
      <c r="H17" s="23" t="s">
        <v>30</v>
      </c>
      <c r="I17" s="25" t="s">
        <v>61</v>
      </c>
      <c r="J17" s="23" t="s">
        <v>60</v>
      </c>
      <c r="K17" s="15"/>
      <c r="L17" s="15"/>
      <c r="M17" s="15"/>
      <c r="N17" s="15"/>
      <c r="O17" s="15"/>
    </row>
    <row r="18" spans="1:15" ht="14.25">
      <c r="A18" s="15"/>
      <c r="B18" s="201" t="s">
        <v>89</v>
      </c>
      <c r="C18" s="201"/>
      <c r="D18" s="201"/>
      <c r="E18" s="201"/>
      <c r="F18" s="201"/>
      <c r="G18" s="201"/>
      <c r="H18" s="201"/>
      <c r="I18" s="201"/>
      <c r="J18" s="201"/>
      <c r="K18" s="15"/>
      <c r="L18" s="15"/>
      <c r="M18" s="15"/>
      <c r="N18" s="15"/>
      <c r="O18" s="15"/>
    </row>
    <row r="19" spans="1:15" ht="14.25">
      <c r="A19" s="15" t="s">
        <v>34</v>
      </c>
      <c r="B19" s="79">
        <v>39.305999999999997</v>
      </c>
      <c r="C19" s="82">
        <v>695</v>
      </c>
      <c r="D19" s="104">
        <v>0.10141264051999997</v>
      </c>
      <c r="E19" s="82">
        <f>B19+C19+D19</f>
        <v>734.40741264052008</v>
      </c>
      <c r="F19" s="81"/>
      <c r="G19" s="82">
        <f>E19-J19-H19</f>
        <v>655.27531148258311</v>
      </c>
      <c r="H19" s="82">
        <v>56.816101157936991</v>
      </c>
      <c r="I19" s="82">
        <f>SUM(G19:H19)</f>
        <v>712.09141264052005</v>
      </c>
      <c r="J19" s="79">
        <v>22.315999999999999</v>
      </c>
      <c r="K19" s="15"/>
      <c r="L19" s="15"/>
      <c r="M19" s="15"/>
      <c r="N19" s="15"/>
      <c r="O19" s="15"/>
    </row>
    <row r="20" spans="1:15" ht="16.5">
      <c r="A20" s="15" t="s">
        <v>35</v>
      </c>
      <c r="B20" s="79">
        <f>J19</f>
        <v>22.315999999999999</v>
      </c>
      <c r="C20" s="82">
        <v>590</v>
      </c>
      <c r="D20" s="80">
        <v>0</v>
      </c>
      <c r="E20" s="82">
        <f>B20+C20+D20</f>
        <v>612.31600000000003</v>
      </c>
      <c r="F20" s="81"/>
      <c r="G20" s="82">
        <f>E20-J20-H20</f>
        <v>526.02636987119706</v>
      </c>
      <c r="H20" s="82">
        <v>53.033630128802983</v>
      </c>
      <c r="I20" s="82">
        <f>SUM(G20:H20)</f>
        <v>579.06000000000006</v>
      </c>
      <c r="J20" s="79">
        <v>33.256</v>
      </c>
      <c r="K20" s="15"/>
      <c r="L20" s="15"/>
      <c r="M20" s="15"/>
      <c r="N20" s="15"/>
      <c r="O20" s="15"/>
    </row>
    <row r="21" spans="1:15" ht="16.5">
      <c r="A21" s="14" t="s">
        <v>36</v>
      </c>
      <c r="B21" s="183">
        <f>J20</f>
        <v>33.256</v>
      </c>
      <c r="C21" s="186">
        <v>595</v>
      </c>
      <c r="D21" s="184">
        <v>0</v>
      </c>
      <c r="E21" s="186">
        <f>B21+C21+D21</f>
        <v>628.25599999999997</v>
      </c>
      <c r="F21" s="185"/>
      <c r="G21" s="186">
        <v>533</v>
      </c>
      <c r="H21" s="186">
        <v>60</v>
      </c>
      <c r="I21" s="186">
        <f>SUM(G21:H21)</f>
        <v>593</v>
      </c>
      <c r="J21" s="183">
        <f>E21-I21</f>
        <v>35.255999999999972</v>
      </c>
      <c r="K21" s="15"/>
      <c r="L21" s="15"/>
      <c r="M21" s="15"/>
      <c r="N21" s="15"/>
      <c r="O21" s="15"/>
    </row>
    <row r="22" spans="1:15" ht="16.5">
      <c r="A22" s="46" t="s">
        <v>85</v>
      </c>
      <c r="B22" s="15"/>
      <c r="C22" s="78"/>
      <c r="D22" s="78"/>
      <c r="E22" s="78"/>
      <c r="F22" s="78"/>
      <c r="G22" s="78"/>
      <c r="H22" s="78"/>
      <c r="I22" s="15"/>
      <c r="J22" s="15"/>
      <c r="K22" s="15"/>
      <c r="L22" s="15"/>
      <c r="M22" s="15"/>
      <c r="N22" s="15"/>
      <c r="O22" s="15"/>
    </row>
    <row r="23" spans="1:15" ht="14.25">
      <c r="A23" s="15" t="s">
        <v>90</v>
      </c>
      <c r="B23" s="81"/>
      <c r="C23" s="81"/>
      <c r="D23" s="81"/>
      <c r="E23" s="81"/>
      <c r="F23" s="81"/>
      <c r="G23" s="81"/>
      <c r="H23" s="81"/>
      <c r="I23" s="15"/>
      <c r="J23" s="15"/>
      <c r="K23" s="15"/>
      <c r="L23" s="15"/>
      <c r="M23" s="15"/>
      <c r="N23" s="15"/>
      <c r="O23" s="15"/>
    </row>
    <row r="24" spans="1:15" ht="14.25">
      <c r="A24" s="15"/>
      <c r="B24" s="33"/>
      <c r="C24" s="33"/>
      <c r="D24" s="33"/>
      <c r="E24" s="33"/>
      <c r="F24" s="33"/>
      <c r="G24" s="33"/>
      <c r="H24" s="33"/>
      <c r="I24" s="15"/>
      <c r="J24" s="15"/>
      <c r="K24" s="15"/>
      <c r="L24" s="15"/>
      <c r="M24" s="15"/>
      <c r="N24" s="15"/>
      <c r="O24" s="15"/>
    </row>
    <row r="25" spans="1:15" ht="14.25">
      <c r="A25" s="15"/>
      <c r="B25" s="33"/>
      <c r="C25" s="38"/>
      <c r="D25" s="33"/>
      <c r="E25" s="33"/>
      <c r="F25" s="33"/>
      <c r="G25" s="33"/>
      <c r="H25" s="33"/>
      <c r="I25" s="15"/>
      <c r="J25" s="15"/>
      <c r="K25" s="15"/>
      <c r="L25" s="15"/>
      <c r="M25" s="15"/>
      <c r="N25" s="15"/>
      <c r="O25" s="15"/>
    </row>
    <row r="26" spans="1:15" ht="14.25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4.25">
      <c r="A27" s="15"/>
      <c r="B27" s="196" t="s">
        <v>56</v>
      </c>
      <c r="C27" s="196"/>
      <c r="D27" s="196"/>
      <c r="E27" s="196"/>
      <c r="F27" s="15"/>
      <c r="G27" s="196" t="s">
        <v>57</v>
      </c>
      <c r="H27" s="196"/>
      <c r="I27" s="196"/>
      <c r="J27" s="15"/>
      <c r="K27" s="15"/>
      <c r="L27" s="15"/>
      <c r="M27" s="15"/>
      <c r="N27" s="15"/>
      <c r="O27" s="15"/>
    </row>
    <row r="28" spans="1:15" ht="14.25">
      <c r="A28" s="15" t="s">
        <v>17</v>
      </c>
      <c r="B28" s="17" t="s">
        <v>68</v>
      </c>
      <c r="C28" s="20"/>
      <c r="D28" s="20"/>
      <c r="E28" s="20"/>
      <c r="F28" s="20"/>
      <c r="G28" s="20"/>
      <c r="H28" s="20"/>
      <c r="I28" s="20"/>
      <c r="J28" s="17" t="s">
        <v>58</v>
      </c>
      <c r="K28" s="15"/>
      <c r="L28" s="15"/>
      <c r="M28" s="15"/>
      <c r="N28" s="15"/>
      <c r="O28" s="15"/>
    </row>
    <row r="29" spans="1:15" ht="14.25">
      <c r="A29" s="21" t="s">
        <v>59</v>
      </c>
      <c r="B29" s="23" t="s">
        <v>60</v>
      </c>
      <c r="C29" s="23" t="s">
        <v>26</v>
      </c>
      <c r="D29" s="25" t="s">
        <v>69</v>
      </c>
      <c r="E29" s="23" t="s">
        <v>83</v>
      </c>
      <c r="F29" s="24"/>
      <c r="G29" s="23" t="s">
        <v>62</v>
      </c>
      <c r="H29" s="23" t="s">
        <v>30</v>
      </c>
      <c r="I29" s="23" t="s">
        <v>61</v>
      </c>
      <c r="J29" s="23" t="s">
        <v>64</v>
      </c>
      <c r="K29" s="15"/>
      <c r="L29" s="15"/>
      <c r="M29" s="15"/>
      <c r="N29" s="15"/>
      <c r="O29" s="15"/>
    </row>
    <row r="30" spans="1:15" ht="14.25">
      <c r="A30" s="15"/>
      <c r="B30" s="201" t="s">
        <v>73</v>
      </c>
      <c r="C30" s="201"/>
      <c r="D30" s="201"/>
      <c r="E30" s="201"/>
      <c r="F30" s="201"/>
      <c r="G30" s="201"/>
      <c r="H30" s="201"/>
      <c r="I30" s="201"/>
      <c r="J30" s="201"/>
      <c r="K30" s="15"/>
      <c r="L30" s="15"/>
      <c r="M30" s="15"/>
      <c r="N30" s="15"/>
      <c r="O30" s="15"/>
    </row>
    <row r="31" spans="1:15" ht="14.25">
      <c r="A31" s="15" t="s">
        <v>34</v>
      </c>
      <c r="B31" s="80">
        <v>48.207999999999998</v>
      </c>
      <c r="C31" s="82">
        <v>430</v>
      </c>
      <c r="D31" s="80">
        <v>24.878063955389997</v>
      </c>
      <c r="E31" s="84">
        <f>B31+C31+D31</f>
        <v>503.08606395538999</v>
      </c>
      <c r="F31" s="81"/>
      <c r="G31" s="82">
        <f>I31-H31</f>
        <v>325.68860562582</v>
      </c>
      <c r="H31" s="82">
        <v>127.69945832956999</v>
      </c>
      <c r="I31" s="82">
        <f>E31-J31</f>
        <v>453.38806395539001</v>
      </c>
      <c r="J31" s="82">
        <v>49.698</v>
      </c>
      <c r="K31" s="15"/>
      <c r="L31" s="15"/>
      <c r="M31" s="15"/>
      <c r="N31" s="15"/>
      <c r="O31" s="15"/>
    </row>
    <row r="32" spans="1:15" ht="16.5">
      <c r="A32" s="15" t="s">
        <v>35</v>
      </c>
      <c r="B32" s="80">
        <f>J31</f>
        <v>49.698</v>
      </c>
      <c r="C32" s="82">
        <v>365.27800000000002</v>
      </c>
      <c r="D32" s="80">
        <v>15.945374023673999</v>
      </c>
      <c r="E32" s="84">
        <f>B32+C32+D32</f>
        <v>430.92137402367399</v>
      </c>
      <c r="F32" s="81"/>
      <c r="G32" s="82">
        <v>310</v>
      </c>
      <c r="H32" s="82">
        <v>71.126637277750007</v>
      </c>
      <c r="I32" s="82">
        <f>SUM(G32:H32)</f>
        <v>381.12663727774998</v>
      </c>
      <c r="J32" s="82">
        <f>E32-I32</f>
        <v>49.794736745924013</v>
      </c>
      <c r="K32" s="15"/>
      <c r="L32" s="15"/>
      <c r="M32" s="15"/>
      <c r="N32" s="15"/>
      <c r="O32" s="15"/>
    </row>
    <row r="33" spans="1:17" ht="16.5">
      <c r="A33" s="14" t="s">
        <v>36</v>
      </c>
      <c r="B33" s="184">
        <f>J32</f>
        <v>49.794736745924013</v>
      </c>
      <c r="C33" s="186">
        <v>365</v>
      </c>
      <c r="D33" s="184">
        <v>20</v>
      </c>
      <c r="E33" s="187">
        <f>B33+C33+D33</f>
        <v>434.79473674592401</v>
      </c>
      <c r="F33" s="185"/>
      <c r="G33" s="186">
        <v>315</v>
      </c>
      <c r="H33" s="186">
        <v>70</v>
      </c>
      <c r="I33" s="186">
        <f>SUM(G33:H33)</f>
        <v>385</v>
      </c>
      <c r="J33" s="186">
        <f>E33-I33</f>
        <v>49.794736745924013</v>
      </c>
      <c r="K33" s="15"/>
      <c r="L33" s="15"/>
      <c r="M33" s="15"/>
      <c r="N33" s="15"/>
      <c r="O33" s="15"/>
    </row>
    <row r="34" spans="1:17" ht="16.5">
      <c r="A34" s="46" t="s">
        <v>85</v>
      </c>
      <c r="B34" s="15"/>
      <c r="C34" s="78"/>
      <c r="D34" s="78"/>
      <c r="E34" s="78"/>
      <c r="F34" s="78"/>
      <c r="G34" s="78"/>
      <c r="H34" s="78"/>
      <c r="I34" s="15"/>
      <c r="J34" s="15"/>
      <c r="K34" s="15"/>
      <c r="L34" s="15"/>
      <c r="M34" s="15"/>
      <c r="N34" s="15"/>
      <c r="O34" s="15"/>
    </row>
    <row r="35" spans="1:17" ht="14.25">
      <c r="A35" s="15" t="s">
        <v>90</v>
      </c>
      <c r="B35" s="33"/>
      <c r="C35" s="38"/>
      <c r="D35" s="33"/>
      <c r="E35" s="33"/>
      <c r="F35" s="33"/>
      <c r="G35" s="33"/>
      <c r="H35" s="33"/>
      <c r="I35" s="15"/>
      <c r="J35" s="15"/>
      <c r="K35" s="15"/>
      <c r="L35" s="15"/>
      <c r="M35" s="15"/>
      <c r="N35" s="15"/>
      <c r="O35" s="15"/>
    </row>
    <row r="36" spans="1:17" ht="14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7" ht="14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7" ht="14.25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7" ht="14.25">
      <c r="A39" s="15"/>
      <c r="B39" s="196" t="s">
        <v>13</v>
      </c>
      <c r="C39" s="196"/>
      <c r="D39" s="17" t="s">
        <v>14</v>
      </c>
      <c r="E39" s="196" t="s">
        <v>15</v>
      </c>
      <c r="F39" s="196"/>
      <c r="G39" s="196"/>
      <c r="H39" s="196"/>
      <c r="I39" s="15"/>
      <c r="J39" s="196" t="s">
        <v>57</v>
      </c>
      <c r="K39" s="196"/>
      <c r="L39" s="196"/>
      <c r="M39" s="196"/>
      <c r="N39" s="196"/>
      <c r="O39" s="77"/>
    </row>
    <row r="40" spans="1:17" ht="14.25">
      <c r="A40" s="15" t="s">
        <v>17</v>
      </c>
      <c r="B40" s="17" t="s">
        <v>18</v>
      </c>
      <c r="C40" s="17" t="s">
        <v>19</v>
      </c>
      <c r="D40" s="15"/>
      <c r="E40" s="17" t="s">
        <v>68</v>
      </c>
      <c r="F40" s="17"/>
      <c r="G40" s="17"/>
      <c r="H40" s="17"/>
      <c r="I40" s="15"/>
      <c r="J40" s="59" t="s">
        <v>88</v>
      </c>
      <c r="K40" s="17"/>
      <c r="L40" s="17" t="s">
        <v>22</v>
      </c>
      <c r="M40" s="17"/>
      <c r="N40" s="17"/>
      <c r="O40" s="17" t="s">
        <v>58</v>
      </c>
    </row>
    <row r="41" spans="1:17" ht="14.25">
      <c r="A41" s="21" t="s">
        <v>78</v>
      </c>
      <c r="B41" s="22"/>
      <c r="C41" s="22"/>
      <c r="D41" s="22"/>
      <c r="E41" s="23" t="s">
        <v>60</v>
      </c>
      <c r="F41" s="23" t="s">
        <v>26</v>
      </c>
      <c r="G41" s="23" t="s">
        <v>69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61</v>
      </c>
      <c r="O41" s="23" t="s">
        <v>64</v>
      </c>
    </row>
    <row r="42" spans="1:17" ht="14.25">
      <c r="A42" s="15"/>
      <c r="B42" s="199" t="s">
        <v>92</v>
      </c>
      <c r="C42" s="200"/>
      <c r="D42" s="85" t="s">
        <v>93</v>
      </c>
      <c r="E42" s="202" t="s">
        <v>94</v>
      </c>
      <c r="F42" s="201"/>
      <c r="G42" s="201"/>
      <c r="H42" s="201"/>
      <c r="I42" s="201"/>
      <c r="J42" s="201"/>
      <c r="K42" s="201"/>
      <c r="L42" s="201"/>
      <c r="M42" s="201"/>
      <c r="N42" s="201"/>
      <c r="O42" s="200"/>
    </row>
    <row r="43" spans="1:17" ht="14.25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7" ht="14.25">
      <c r="A44" s="15" t="s">
        <v>34</v>
      </c>
      <c r="B44" s="79">
        <v>1580.2</v>
      </c>
      <c r="C44" s="79">
        <v>1540.1</v>
      </c>
      <c r="D44" s="79">
        <f>F44*1000/C44</f>
        <v>4130.4662034932799</v>
      </c>
      <c r="E44" s="79">
        <v>1968.162</v>
      </c>
      <c r="F44" s="79">
        <v>6361.3310000000001</v>
      </c>
      <c r="G44" s="82">
        <v>107.03</v>
      </c>
      <c r="H44" s="79">
        <f>SUM(E44:G44)</f>
        <v>8436.523000000001</v>
      </c>
      <c r="I44" s="79"/>
      <c r="J44" s="79">
        <v>3313.1</v>
      </c>
      <c r="K44" s="79">
        <v>842.43200000000002</v>
      </c>
      <c r="L44" s="82">
        <f t="shared" ref="L44" si="0">N44-J44-K44-M44</f>
        <v>736.59400000000142</v>
      </c>
      <c r="M44" s="82">
        <v>1184.1400000000001</v>
      </c>
      <c r="N44" s="79">
        <f>H44-O44</f>
        <v>6076.2660000000014</v>
      </c>
      <c r="O44" s="79">
        <v>2360.2570000000001</v>
      </c>
      <c r="P44" s="102"/>
      <c r="Q44" s="102"/>
    </row>
    <row r="45" spans="1:17" ht="16.5">
      <c r="A45" s="15" t="s">
        <v>35</v>
      </c>
      <c r="B45" s="79">
        <v>1450.3</v>
      </c>
      <c r="C45" s="79">
        <v>1383.1</v>
      </c>
      <c r="D45" s="79">
        <f>F45*1000/C45</f>
        <v>4007.5865808690623</v>
      </c>
      <c r="E45" s="79">
        <f>O44</f>
        <v>2360.2570000000001</v>
      </c>
      <c r="F45" s="79">
        <v>5542.893</v>
      </c>
      <c r="G45" s="82">
        <v>102.91</v>
      </c>
      <c r="H45" s="79">
        <f>SUM(E45:G45)</f>
        <v>8006.0599999999995</v>
      </c>
      <c r="I45" s="79"/>
      <c r="J45" s="79">
        <v>3201</v>
      </c>
      <c r="K45" s="79">
        <v>794.7</v>
      </c>
      <c r="L45" s="82">
        <f>N45-J45-K45-M45</f>
        <v>781.34399999999914</v>
      </c>
      <c r="M45" s="82">
        <v>1195.93</v>
      </c>
      <c r="N45" s="79">
        <f>H45-O45</f>
        <v>5972.9739999999993</v>
      </c>
      <c r="O45" s="79">
        <v>2033.086</v>
      </c>
      <c r="P45" s="102"/>
      <c r="Q45" s="102"/>
    </row>
    <row r="46" spans="1:17" ht="16.5">
      <c r="A46" s="14" t="s">
        <v>36</v>
      </c>
      <c r="B46" s="183">
        <v>1650</v>
      </c>
      <c r="C46" s="183">
        <v>1599.8</v>
      </c>
      <c r="D46" s="183">
        <f>F46*1000/C46</f>
        <v>3739.9424928116014</v>
      </c>
      <c r="E46" s="183">
        <f>O45</f>
        <v>2033.086</v>
      </c>
      <c r="F46" s="183">
        <v>5983.16</v>
      </c>
      <c r="G46" s="186">
        <v>115</v>
      </c>
      <c r="H46" s="183">
        <f>SUM(E46:G46)</f>
        <v>8131.2460000000001</v>
      </c>
      <c r="I46" s="183"/>
      <c r="J46" s="183">
        <v>3318.5820889158399</v>
      </c>
      <c r="K46" s="183">
        <v>800</v>
      </c>
      <c r="L46" s="186">
        <v>728.75</v>
      </c>
      <c r="M46" s="186">
        <v>1250</v>
      </c>
      <c r="N46" s="183">
        <f>SUM(J46:M46)</f>
        <v>6097.3320889158404</v>
      </c>
      <c r="O46" s="183">
        <f>H46-N46</f>
        <v>2033.9139110841597</v>
      </c>
      <c r="P46" s="102"/>
      <c r="Q46" s="102"/>
    </row>
    <row r="47" spans="1:17" ht="16.5">
      <c r="A47" s="46" t="s">
        <v>85</v>
      </c>
      <c r="B47" s="15"/>
      <c r="C47" s="78"/>
      <c r="D47" s="78"/>
      <c r="E47" s="78"/>
      <c r="F47" s="78"/>
      <c r="G47" s="78"/>
      <c r="H47" s="78"/>
      <c r="I47" s="15"/>
      <c r="J47" s="15"/>
      <c r="K47" s="15"/>
      <c r="L47" s="15"/>
      <c r="M47" s="15"/>
      <c r="N47" s="15"/>
      <c r="O47" s="15"/>
    </row>
    <row r="48" spans="1:17" ht="14.25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25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4.25">
      <c r="A50" s="20" t="s">
        <v>55</v>
      </c>
      <c r="B50" s="86">
        <f>Contents!A16</f>
        <v>45244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5" customHeight="1">
      <c r="A51" s="87"/>
      <c r="B51" s="88"/>
      <c r="C51" s="88"/>
      <c r="D51" s="88"/>
      <c r="E51" s="88"/>
      <c r="F51" s="88"/>
      <c r="G51" s="88"/>
      <c r="H51" s="88"/>
      <c r="I51" s="88"/>
      <c r="J51" s="112"/>
      <c r="K51" s="88"/>
      <c r="L51" s="88"/>
      <c r="M51" s="88"/>
      <c r="N51" s="88"/>
      <c r="O51" s="88"/>
    </row>
    <row r="52" spans="1:15" ht="15.75">
      <c r="G52" s="67"/>
      <c r="H52" s="67"/>
    </row>
    <row r="53" spans="1:15" ht="15.75">
      <c r="G53" s="67"/>
      <c r="H53" s="67"/>
    </row>
    <row r="54" spans="1:15" ht="15.75">
      <c r="G54" s="67"/>
      <c r="H54" s="67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38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39"/>
  <sheetViews>
    <sheetView showGridLines="0" zoomScale="70" zoomScaleNormal="70" workbookViewId="0"/>
  </sheetViews>
  <sheetFormatPr defaultColWidth="9.140625" defaultRowHeight="12.75"/>
  <cols>
    <col min="1" max="1" width="11.7109375" customWidth="1"/>
    <col min="2" max="2" width="18.85546875" bestFit="1" customWidth="1"/>
    <col min="3" max="3" width="22.140625" bestFit="1" customWidth="1"/>
    <col min="4" max="4" width="24.5703125" customWidth="1"/>
    <col min="5" max="5" width="25.28515625" customWidth="1"/>
    <col min="6" max="6" width="16.7109375" bestFit="1" customWidth="1"/>
    <col min="7" max="7" width="18.85546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50"/>
      <c r="D3" s="50"/>
      <c r="E3" s="50"/>
      <c r="F3" s="50"/>
      <c r="G3" s="50"/>
    </row>
    <row r="4" spans="1:10" ht="14.25">
      <c r="A4" s="51"/>
      <c r="B4" s="52" t="s">
        <v>104</v>
      </c>
      <c r="C4" s="52" t="s">
        <v>105</v>
      </c>
      <c r="D4" s="52" t="s">
        <v>106</v>
      </c>
      <c r="E4" s="52" t="s">
        <v>106</v>
      </c>
      <c r="F4" s="52" t="s">
        <v>107</v>
      </c>
      <c r="G4" s="52" t="s">
        <v>104</v>
      </c>
    </row>
    <row r="5" spans="1:10" ht="14.25">
      <c r="A5" s="15"/>
      <c r="B5" s="15"/>
      <c r="C5" s="15"/>
      <c r="D5" s="17"/>
      <c r="E5" s="15"/>
      <c r="F5" s="15"/>
      <c r="G5" s="15"/>
    </row>
    <row r="6" spans="1:10" ht="14.25">
      <c r="A6" s="15" t="s">
        <v>108</v>
      </c>
      <c r="B6" s="53">
        <v>11.3</v>
      </c>
      <c r="C6" s="53">
        <v>161</v>
      </c>
      <c r="D6" s="53">
        <v>23.3</v>
      </c>
      <c r="E6" s="53">
        <v>19.3</v>
      </c>
      <c r="F6" s="53">
        <v>22.5</v>
      </c>
      <c r="G6" s="53">
        <v>12.2</v>
      </c>
      <c r="J6" s="68"/>
    </row>
    <row r="7" spans="1:10" ht="14.25">
      <c r="A7" s="15" t="s">
        <v>109</v>
      </c>
      <c r="B7" s="53">
        <v>12.5</v>
      </c>
      <c r="C7" s="53">
        <v>260</v>
      </c>
      <c r="D7" s="53">
        <v>29.1</v>
      </c>
      <c r="E7" s="53">
        <v>24</v>
      </c>
      <c r="F7" s="53">
        <v>31.8</v>
      </c>
      <c r="G7" s="53">
        <v>13.9</v>
      </c>
      <c r="J7" s="68"/>
    </row>
    <row r="8" spans="1:10" ht="14.25">
      <c r="A8" s="15" t="s">
        <v>110</v>
      </c>
      <c r="B8" s="53">
        <v>14.4</v>
      </c>
      <c r="C8" s="53">
        <v>252</v>
      </c>
      <c r="D8" s="53">
        <v>25.4</v>
      </c>
      <c r="E8" s="53">
        <v>26.5</v>
      </c>
      <c r="F8" s="53">
        <v>30.1</v>
      </c>
      <c r="G8" s="53">
        <v>13.8</v>
      </c>
      <c r="J8" s="68"/>
    </row>
    <row r="9" spans="1:10" ht="14.25">
      <c r="A9" s="15" t="s">
        <v>111</v>
      </c>
      <c r="B9" s="53">
        <v>13</v>
      </c>
      <c r="C9" s="53">
        <v>246</v>
      </c>
      <c r="D9" s="53">
        <v>21.4</v>
      </c>
      <c r="E9" s="53">
        <v>20.6</v>
      </c>
      <c r="F9" s="53">
        <v>24.9</v>
      </c>
      <c r="G9" s="53">
        <v>13.8</v>
      </c>
      <c r="J9" s="68"/>
    </row>
    <row r="10" spans="1:10" ht="14.25">
      <c r="A10" s="15" t="s">
        <v>112</v>
      </c>
      <c r="B10" s="53">
        <v>10.1</v>
      </c>
      <c r="C10" s="53">
        <v>194</v>
      </c>
      <c r="D10" s="53">
        <v>21.7</v>
      </c>
      <c r="E10" s="53">
        <v>16.899999999999999</v>
      </c>
      <c r="F10" s="53">
        <v>22</v>
      </c>
      <c r="G10" s="53">
        <v>11.8</v>
      </c>
      <c r="J10" s="68"/>
    </row>
    <row r="11" spans="1:10" ht="14.25">
      <c r="A11" s="15" t="s">
        <v>113</v>
      </c>
      <c r="B11" s="53">
        <v>8.9499999999999993</v>
      </c>
      <c r="C11" s="53">
        <v>227</v>
      </c>
      <c r="D11" s="53">
        <v>19.600000000000001</v>
      </c>
      <c r="E11" s="53">
        <v>15.6</v>
      </c>
      <c r="F11" s="53">
        <v>19.3</v>
      </c>
      <c r="G11" s="53">
        <v>8.9499999999999993</v>
      </c>
      <c r="J11" s="68"/>
    </row>
    <row r="12" spans="1:10" ht="14.25">
      <c r="A12" s="15" t="s">
        <v>114</v>
      </c>
      <c r="B12" s="53">
        <v>9.4700000000000006</v>
      </c>
      <c r="C12" s="53">
        <v>195</v>
      </c>
      <c r="D12" s="53">
        <v>17.399999999999999</v>
      </c>
      <c r="E12" s="53">
        <v>16.600000000000001</v>
      </c>
      <c r="F12" s="53">
        <v>19.7</v>
      </c>
      <c r="G12" s="53">
        <v>8</v>
      </c>
      <c r="J12" s="68"/>
    </row>
    <row r="13" spans="1:10" ht="14.25">
      <c r="A13" s="15" t="s">
        <v>115</v>
      </c>
      <c r="B13" s="53">
        <v>9.33</v>
      </c>
      <c r="C13" s="53">
        <v>142</v>
      </c>
      <c r="D13" s="53">
        <v>17.2</v>
      </c>
      <c r="E13" s="53">
        <v>17.5</v>
      </c>
      <c r="F13" s="53">
        <v>22.9</v>
      </c>
      <c r="G13" s="53">
        <v>9.5299999999999994</v>
      </c>
      <c r="J13" s="68"/>
    </row>
    <row r="14" spans="1:10" ht="14.25">
      <c r="A14" s="15" t="s">
        <v>116</v>
      </c>
      <c r="B14" s="53">
        <v>8.48</v>
      </c>
      <c r="C14" s="53">
        <v>155</v>
      </c>
      <c r="D14" s="53">
        <v>17.399999999999999</v>
      </c>
      <c r="E14" s="53">
        <v>15.8</v>
      </c>
      <c r="F14" s="53">
        <v>21.5</v>
      </c>
      <c r="G14" s="53">
        <v>9.89</v>
      </c>
      <c r="J14" s="68"/>
    </row>
    <row r="15" spans="1:10" ht="14.25">
      <c r="A15" s="15" t="s">
        <v>117</v>
      </c>
      <c r="B15" s="53">
        <v>8.57</v>
      </c>
      <c r="C15" s="53">
        <v>161</v>
      </c>
      <c r="D15" s="53">
        <v>19.5</v>
      </c>
      <c r="E15" s="53">
        <v>14.8</v>
      </c>
      <c r="F15" s="53">
        <v>20.5</v>
      </c>
      <c r="G15" s="53">
        <v>9.15</v>
      </c>
      <c r="J15" s="68"/>
    </row>
    <row r="16" spans="1:10" ht="14.25">
      <c r="A16" s="15" t="s">
        <v>118</v>
      </c>
      <c r="B16" s="53">
        <v>10.8</v>
      </c>
      <c r="C16" s="53">
        <v>194</v>
      </c>
      <c r="D16" s="53">
        <v>21.3</v>
      </c>
      <c r="E16" s="53">
        <v>18.400000000000002</v>
      </c>
      <c r="F16" s="53">
        <v>21</v>
      </c>
      <c r="G16" s="53">
        <v>11.1</v>
      </c>
      <c r="J16" s="68"/>
    </row>
    <row r="17" spans="1:10" ht="14.25">
      <c r="A17" s="15" t="s">
        <v>34</v>
      </c>
      <c r="B17" s="53">
        <v>13.3</v>
      </c>
      <c r="C17" s="53">
        <v>243</v>
      </c>
      <c r="D17" s="117">
        <v>32.9</v>
      </c>
      <c r="E17" s="53">
        <v>32.9</v>
      </c>
      <c r="F17" s="53">
        <v>24.3</v>
      </c>
      <c r="G17" s="53">
        <v>25.9</v>
      </c>
      <c r="J17" s="68"/>
    </row>
    <row r="18" spans="1:10" ht="16.5">
      <c r="A18" s="15" t="s">
        <v>119</v>
      </c>
      <c r="B18" s="53">
        <v>14.2</v>
      </c>
      <c r="C18" s="117">
        <v>306</v>
      </c>
      <c r="D18" s="53">
        <v>27.8</v>
      </c>
      <c r="E18" s="53">
        <v>29.8</v>
      </c>
      <c r="F18" s="53">
        <v>26.8</v>
      </c>
      <c r="G18" s="117">
        <v>17.5</v>
      </c>
      <c r="H18" s="134"/>
      <c r="J18" s="68"/>
    </row>
    <row r="19" spans="1:10" ht="16.5">
      <c r="A19" s="15" t="s">
        <v>120</v>
      </c>
      <c r="B19" s="53">
        <v>12.9</v>
      </c>
      <c r="C19" s="53">
        <v>240</v>
      </c>
      <c r="D19" s="53">
        <v>20.45</v>
      </c>
      <c r="E19" s="53">
        <v>26</v>
      </c>
      <c r="F19" s="53">
        <v>27.5</v>
      </c>
      <c r="G19" s="117">
        <v>13</v>
      </c>
      <c r="H19" s="134"/>
      <c r="J19" s="68"/>
    </row>
    <row r="20" spans="1:10" ht="14.25">
      <c r="A20" s="15"/>
      <c r="B20" s="54"/>
      <c r="C20" s="55"/>
      <c r="D20" s="56"/>
      <c r="E20" s="56"/>
      <c r="F20" s="55"/>
      <c r="G20" s="57"/>
      <c r="H20" s="47"/>
      <c r="J20" s="68"/>
    </row>
    <row r="21" spans="1:10" ht="15">
      <c r="A21" s="58" t="s">
        <v>52</v>
      </c>
      <c r="B21" s="53"/>
      <c r="C21" s="53"/>
      <c r="D21" s="53"/>
      <c r="E21" s="53"/>
      <c r="F21" s="53"/>
      <c r="G21" s="53"/>
    </row>
    <row r="22" spans="1:10" ht="14.25">
      <c r="A22" s="15" t="s">
        <v>37</v>
      </c>
      <c r="B22" s="117">
        <v>14.2</v>
      </c>
      <c r="C22" s="53">
        <v>316</v>
      </c>
      <c r="D22" s="53">
        <v>32.9</v>
      </c>
      <c r="E22" s="53">
        <v>28.1</v>
      </c>
      <c r="F22" s="53">
        <v>25.6</v>
      </c>
      <c r="G22" s="53">
        <v>18.899999999999999</v>
      </c>
    </row>
    <row r="23" spans="1:10" ht="14.25">
      <c r="A23" s="15" t="s">
        <v>38</v>
      </c>
      <c r="B23" s="53">
        <v>13.5</v>
      </c>
      <c r="C23" s="53">
        <v>340</v>
      </c>
      <c r="D23" s="53">
        <v>29.3</v>
      </c>
      <c r="E23" s="53">
        <v>28.1</v>
      </c>
      <c r="F23" s="53">
        <v>26.400000000000002</v>
      </c>
      <c r="G23" s="53">
        <v>18.600000000000001</v>
      </c>
    </row>
    <row r="24" spans="1:10" ht="14.25">
      <c r="A24" s="15" t="s">
        <v>39</v>
      </c>
      <c r="B24" s="53">
        <v>14</v>
      </c>
      <c r="C24" s="53">
        <v>281</v>
      </c>
      <c r="D24" s="53">
        <v>28.4</v>
      </c>
      <c r="E24" s="53">
        <v>29.2</v>
      </c>
      <c r="F24" s="53">
        <v>28.799999999999997</v>
      </c>
      <c r="G24" s="53">
        <v>19.5</v>
      </c>
    </row>
    <row r="25" spans="1:10" ht="14.25">
      <c r="A25" s="15" t="s">
        <v>41</v>
      </c>
      <c r="B25" s="53">
        <v>14.4</v>
      </c>
      <c r="C25" s="53">
        <v>315</v>
      </c>
      <c r="D25" s="53">
        <v>29.5</v>
      </c>
      <c r="E25" s="53">
        <v>29.2</v>
      </c>
      <c r="F25" s="53">
        <v>24.5</v>
      </c>
      <c r="G25" s="53">
        <v>18.3</v>
      </c>
    </row>
    <row r="26" spans="1:10" ht="14.25">
      <c r="A26" s="15" t="s">
        <v>42</v>
      </c>
      <c r="B26" s="53">
        <v>14.5</v>
      </c>
      <c r="C26" s="53">
        <v>273</v>
      </c>
      <c r="D26" s="53">
        <v>29</v>
      </c>
      <c r="E26" s="53">
        <v>30.1</v>
      </c>
      <c r="F26" s="53">
        <v>27.700000000000003</v>
      </c>
      <c r="G26" s="53">
        <v>17.7</v>
      </c>
    </row>
    <row r="27" spans="1:10" ht="14.25">
      <c r="A27" s="15" t="s">
        <v>43</v>
      </c>
      <c r="B27" s="53">
        <v>15.1</v>
      </c>
      <c r="C27" s="53">
        <v>223</v>
      </c>
      <c r="D27" s="53">
        <v>29.9</v>
      </c>
      <c r="E27" s="53">
        <v>31.7</v>
      </c>
      <c r="F27" s="53">
        <v>27</v>
      </c>
      <c r="G27" s="53">
        <v>15.4</v>
      </c>
    </row>
    <row r="28" spans="1:10" ht="14.25">
      <c r="A28" s="15" t="s">
        <v>45</v>
      </c>
      <c r="B28" s="53">
        <v>14.9</v>
      </c>
      <c r="C28" s="53" t="s">
        <v>76</v>
      </c>
      <c r="D28" s="53">
        <v>27.5</v>
      </c>
      <c r="E28" s="53">
        <v>29.8</v>
      </c>
      <c r="F28" s="53">
        <v>26.700000000000003</v>
      </c>
      <c r="G28" s="53">
        <v>14.8</v>
      </c>
    </row>
    <row r="29" spans="1:10" ht="14.25">
      <c r="A29" s="15" t="s">
        <v>46</v>
      </c>
      <c r="B29" s="53">
        <v>14.9</v>
      </c>
      <c r="C29" s="53" t="s">
        <v>76</v>
      </c>
      <c r="D29" s="53">
        <v>26.9</v>
      </c>
      <c r="E29" s="53">
        <v>26.8</v>
      </c>
      <c r="F29" s="53">
        <v>27.200000000000003</v>
      </c>
      <c r="G29" s="53">
        <v>12.1</v>
      </c>
    </row>
    <row r="30" spans="1:10" ht="14.25">
      <c r="A30" s="15" t="s">
        <v>47</v>
      </c>
      <c r="B30" s="53">
        <v>14.4</v>
      </c>
      <c r="C30" s="53" t="s">
        <v>76</v>
      </c>
      <c r="D30" s="53">
        <v>24.9</v>
      </c>
      <c r="E30" s="53">
        <v>25.2</v>
      </c>
      <c r="F30" s="53">
        <v>27.700000000000003</v>
      </c>
      <c r="G30" s="53">
        <v>12.5</v>
      </c>
    </row>
    <row r="31" spans="1:10" ht="14.25">
      <c r="A31" s="15" t="s">
        <v>49</v>
      </c>
      <c r="B31" s="53">
        <v>14.2</v>
      </c>
      <c r="C31" s="53" t="s">
        <v>76</v>
      </c>
      <c r="D31" s="53">
        <v>23.6</v>
      </c>
      <c r="E31" s="53">
        <v>27.3</v>
      </c>
      <c r="F31" s="53">
        <v>27.900000000000002</v>
      </c>
      <c r="G31" s="53">
        <v>13.1</v>
      </c>
    </row>
    <row r="32" spans="1:10" ht="14.25">
      <c r="A32" s="15" t="s">
        <v>50</v>
      </c>
      <c r="B32" s="53">
        <v>14.7</v>
      </c>
      <c r="C32" s="53" t="s">
        <v>76</v>
      </c>
      <c r="D32" s="53">
        <v>25</v>
      </c>
      <c r="E32" s="53">
        <v>27.2</v>
      </c>
      <c r="F32" s="53">
        <v>27.700000000000003</v>
      </c>
      <c r="G32" s="53">
        <v>11</v>
      </c>
    </row>
    <row r="33" spans="1:7" ht="14.25">
      <c r="A33" s="15" t="s">
        <v>51</v>
      </c>
      <c r="B33" s="53">
        <v>14.1</v>
      </c>
      <c r="C33" s="53">
        <v>219</v>
      </c>
      <c r="D33" s="53">
        <v>23.6</v>
      </c>
      <c r="E33" s="53">
        <v>28.1</v>
      </c>
      <c r="F33" s="53">
        <v>27.1</v>
      </c>
      <c r="G33" s="53">
        <v>11.2</v>
      </c>
    </row>
    <row r="34" spans="1:7" ht="14.25">
      <c r="A34" s="15"/>
      <c r="B34" s="53"/>
      <c r="C34" s="53"/>
      <c r="D34" s="53"/>
      <c r="E34" s="53"/>
      <c r="F34" s="53"/>
      <c r="G34" s="53"/>
    </row>
    <row r="35" spans="1:7" ht="15">
      <c r="A35" s="58" t="s">
        <v>158</v>
      </c>
      <c r="B35" s="53"/>
      <c r="C35" s="53"/>
      <c r="D35" s="53"/>
      <c r="E35" s="53"/>
      <c r="F35" s="53"/>
      <c r="G35" s="53"/>
    </row>
    <row r="36" spans="1:7" ht="14.25">
      <c r="A36" s="14" t="s">
        <v>37</v>
      </c>
      <c r="B36" s="138">
        <v>13.2</v>
      </c>
      <c r="C36" s="138">
        <v>242</v>
      </c>
      <c r="D36" s="138">
        <v>24</v>
      </c>
      <c r="E36" s="138">
        <v>25.1</v>
      </c>
      <c r="F36" s="138">
        <v>26.7</v>
      </c>
      <c r="G36" s="138">
        <v>12</v>
      </c>
    </row>
    <row r="37" spans="1:7" ht="16.5">
      <c r="A37" s="15" t="s">
        <v>121</v>
      </c>
      <c r="B37" s="15"/>
      <c r="C37" s="15"/>
      <c r="D37" s="15"/>
      <c r="E37" s="15"/>
      <c r="F37" s="15"/>
      <c r="G37" s="15"/>
    </row>
    <row r="38" spans="1:7" ht="14.25">
      <c r="A38" s="15" t="s">
        <v>122</v>
      </c>
      <c r="B38" s="15"/>
      <c r="C38" s="15"/>
      <c r="D38" s="15"/>
      <c r="E38" s="15"/>
      <c r="F38" s="15"/>
      <c r="G38" s="15"/>
    </row>
    <row r="39" spans="1:7" ht="14.25">
      <c r="A39" s="20" t="s">
        <v>55</v>
      </c>
      <c r="B39" s="41">
        <f>Contents!A16</f>
        <v>45244</v>
      </c>
      <c r="C39" s="15"/>
      <c r="D39" s="15"/>
      <c r="E39" s="15"/>
      <c r="F39" s="15"/>
      <c r="G39" s="15"/>
    </row>
  </sheetData>
  <phoneticPr fontId="38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0"/>
  <sheetViews>
    <sheetView showGridLines="0" zoomScale="85" zoomScaleNormal="85" workbookViewId="0">
      <pane xSplit="1" ySplit="4" topLeftCell="B19" activePane="bottomRight" state="frozen"/>
      <selection activeCell="P20" sqref="P20"/>
      <selection pane="topRight" activeCell="P20" sqref="P20"/>
      <selection pane="bottomLeft" activeCell="P20" sqref="P20"/>
      <selection pane="bottomRight" activeCell="A40" sqref="A40"/>
    </sheetView>
  </sheetViews>
  <sheetFormatPr defaultColWidth="9.140625" defaultRowHeight="12.75"/>
  <cols>
    <col min="1" max="2" width="11.7109375" customWidth="1"/>
    <col min="3" max="3" width="11.5703125" customWidth="1"/>
    <col min="4" max="4" width="13.7109375" customWidth="1"/>
    <col min="5" max="5" width="11.7109375" customWidth="1"/>
    <col min="6" max="6" width="11.5703125" bestFit="1" customWidth="1"/>
    <col min="7" max="7" width="10.7109375" customWidth="1"/>
    <col min="8" max="8" width="12" customWidth="1"/>
    <col min="9" max="9" width="13.42578125" customWidth="1"/>
    <col min="10" max="10" width="10.140625" bestFit="1" customWidth="1"/>
  </cols>
  <sheetData>
    <row r="1" spans="1:13" ht="14.25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9" t="s">
        <v>96</v>
      </c>
      <c r="B2" s="17" t="s">
        <v>123</v>
      </c>
      <c r="C2" s="17" t="s">
        <v>124</v>
      </c>
      <c r="D2" s="17" t="s">
        <v>125</v>
      </c>
      <c r="E2" s="60" t="s">
        <v>126</v>
      </c>
      <c r="F2" s="60" t="s">
        <v>127</v>
      </c>
      <c r="G2" s="17" t="s">
        <v>128</v>
      </c>
      <c r="H2" s="17" t="s">
        <v>129</v>
      </c>
      <c r="I2" s="61" t="s">
        <v>130</v>
      </c>
    </row>
    <row r="3" spans="1:13" ht="15.6" customHeight="1">
      <c r="A3" s="62" t="s">
        <v>103</v>
      </c>
      <c r="B3" s="23" t="s">
        <v>131</v>
      </c>
      <c r="C3" s="23" t="s">
        <v>132</v>
      </c>
      <c r="D3" s="23" t="s">
        <v>133</v>
      </c>
      <c r="E3" s="23" t="s">
        <v>133</v>
      </c>
      <c r="F3" s="23" t="s">
        <v>134</v>
      </c>
      <c r="G3" s="23" t="s">
        <v>135</v>
      </c>
      <c r="H3" s="23"/>
      <c r="I3" s="23" t="s">
        <v>136</v>
      </c>
    </row>
    <row r="4" spans="1:13" ht="14.25">
      <c r="A4" s="63" t="s">
        <v>137</v>
      </c>
      <c r="C4" s="64"/>
      <c r="D4" s="64"/>
      <c r="E4" s="64"/>
      <c r="F4" s="64"/>
      <c r="G4" s="64"/>
      <c r="H4" s="64"/>
      <c r="I4" s="64"/>
    </row>
    <row r="5" spans="1:13" ht="14.25">
      <c r="A5" s="15"/>
      <c r="B5" s="15"/>
      <c r="C5" s="15"/>
      <c r="D5" s="15"/>
      <c r="E5" s="15"/>
      <c r="F5" s="15"/>
      <c r="G5" s="15"/>
      <c r="H5" s="15"/>
      <c r="I5" s="15"/>
    </row>
    <row r="6" spans="1:13" ht="14.25">
      <c r="A6" s="15" t="s">
        <v>108</v>
      </c>
      <c r="B6" s="53">
        <v>53.2</v>
      </c>
      <c r="C6" s="53">
        <v>54.5</v>
      </c>
      <c r="D6" s="53">
        <v>86.12</v>
      </c>
      <c r="E6" s="53">
        <v>58.68</v>
      </c>
      <c r="F6" s="53">
        <v>77.239999999999995</v>
      </c>
      <c r="G6" s="53">
        <v>60.76</v>
      </c>
      <c r="H6" s="53">
        <v>51.52</v>
      </c>
      <c r="I6" s="53">
        <v>51.34</v>
      </c>
      <c r="J6" s="188"/>
      <c r="K6" s="68"/>
      <c r="L6" s="68"/>
      <c r="M6" s="68"/>
    </row>
    <row r="7" spans="1:13" ht="14.25">
      <c r="A7" s="15" t="s">
        <v>109</v>
      </c>
      <c r="B7" s="53">
        <v>51.9</v>
      </c>
      <c r="C7" s="53">
        <v>53.22</v>
      </c>
      <c r="D7" s="53">
        <v>83.2</v>
      </c>
      <c r="E7" s="53">
        <v>57.19</v>
      </c>
      <c r="F7" s="53">
        <v>100.15</v>
      </c>
      <c r="G7" s="53">
        <v>56.09</v>
      </c>
      <c r="H7" s="53">
        <v>48.11</v>
      </c>
      <c r="I7" s="53">
        <v>50.33</v>
      </c>
      <c r="J7" s="188"/>
      <c r="K7" s="68"/>
      <c r="L7" s="68"/>
      <c r="M7" s="68"/>
    </row>
    <row r="8" spans="1:13" ht="14.25">
      <c r="A8" s="15" t="s">
        <v>110</v>
      </c>
      <c r="B8" s="53">
        <v>47.13</v>
      </c>
      <c r="C8" s="53">
        <v>48.6</v>
      </c>
      <c r="D8" s="53">
        <v>65.87</v>
      </c>
      <c r="E8" s="53">
        <v>56.17</v>
      </c>
      <c r="F8" s="53">
        <v>91.83</v>
      </c>
      <c r="G8" s="53">
        <v>46.66</v>
      </c>
      <c r="H8" s="53">
        <v>51.8</v>
      </c>
      <c r="I8" s="53">
        <v>43.24</v>
      </c>
      <c r="J8" s="188"/>
      <c r="K8" s="68"/>
      <c r="L8" s="68"/>
      <c r="M8" s="68"/>
    </row>
    <row r="9" spans="1:13" ht="14.25">
      <c r="A9" s="15" t="s">
        <v>111</v>
      </c>
      <c r="B9" s="53">
        <v>38.229999999999997</v>
      </c>
      <c r="C9" s="53">
        <v>60.66</v>
      </c>
      <c r="D9" s="53">
        <v>59.12</v>
      </c>
      <c r="E9" s="53">
        <v>43.7</v>
      </c>
      <c r="F9" s="53">
        <v>68.23</v>
      </c>
      <c r="G9" s="53">
        <v>39.43</v>
      </c>
      <c r="H9" s="53">
        <v>43.93</v>
      </c>
      <c r="I9" s="53">
        <v>39.76</v>
      </c>
      <c r="J9" s="188"/>
      <c r="K9" s="68"/>
      <c r="L9" s="68"/>
      <c r="M9" s="68"/>
    </row>
    <row r="10" spans="1:13" ht="14.25">
      <c r="A10" s="15" t="s">
        <v>112</v>
      </c>
      <c r="B10" s="53">
        <v>31.6</v>
      </c>
      <c r="C10" s="53">
        <v>45.74</v>
      </c>
      <c r="D10" s="53">
        <v>66.72</v>
      </c>
      <c r="E10" s="53">
        <v>37.81</v>
      </c>
      <c r="F10" s="53">
        <v>57.96</v>
      </c>
      <c r="G10" s="53">
        <v>37.479999999999997</v>
      </c>
      <c r="H10" s="53">
        <v>33.43</v>
      </c>
      <c r="I10" s="53">
        <v>31.36</v>
      </c>
      <c r="J10" s="188"/>
      <c r="K10" s="68"/>
      <c r="L10" s="68"/>
      <c r="M10" s="68"/>
    </row>
    <row r="11" spans="1:13" ht="14.25">
      <c r="A11" s="15" t="s">
        <v>113</v>
      </c>
      <c r="B11" s="53">
        <v>29.86</v>
      </c>
      <c r="C11" s="53">
        <v>45.87</v>
      </c>
      <c r="D11" s="53">
        <v>57.81</v>
      </c>
      <c r="E11" s="53">
        <v>35.270000000000003</v>
      </c>
      <c r="F11" s="53">
        <v>58.26</v>
      </c>
      <c r="G11" s="53">
        <v>39.25</v>
      </c>
      <c r="H11" s="53">
        <v>32.229999999999997</v>
      </c>
      <c r="I11" s="53">
        <v>30.07</v>
      </c>
      <c r="J11" s="188"/>
      <c r="K11" s="68"/>
      <c r="L11" s="68"/>
      <c r="M11" s="68"/>
    </row>
    <row r="12" spans="1:13" ht="14.25">
      <c r="A12" s="15" t="s">
        <v>114</v>
      </c>
      <c r="B12" s="53">
        <v>32.549999999999997</v>
      </c>
      <c r="C12" s="53">
        <v>40.92</v>
      </c>
      <c r="D12" s="53">
        <v>53.54</v>
      </c>
      <c r="E12" s="53">
        <v>38.729999999999997</v>
      </c>
      <c r="F12" s="53">
        <v>66.73</v>
      </c>
      <c r="G12" s="53">
        <v>37.43</v>
      </c>
      <c r="H12" s="53">
        <v>33.07</v>
      </c>
      <c r="I12" s="53">
        <v>34.75</v>
      </c>
      <c r="J12" s="188"/>
      <c r="K12" s="68"/>
      <c r="L12" s="68"/>
      <c r="M12" s="68"/>
    </row>
    <row r="13" spans="1:13" ht="14.25">
      <c r="A13" s="15" t="s">
        <v>115</v>
      </c>
      <c r="B13" s="53">
        <v>30.04</v>
      </c>
      <c r="C13" s="53">
        <v>31.87</v>
      </c>
      <c r="D13" s="53">
        <v>54.57</v>
      </c>
      <c r="E13" s="53">
        <v>38.270000000000003</v>
      </c>
      <c r="F13" s="53">
        <v>66.72</v>
      </c>
      <c r="G13" s="53">
        <v>30.35</v>
      </c>
      <c r="H13" s="53">
        <v>34.159999999999997</v>
      </c>
      <c r="I13" s="53">
        <v>31.21</v>
      </c>
      <c r="J13" s="188"/>
      <c r="K13" s="68"/>
      <c r="L13" s="68"/>
      <c r="M13" s="68"/>
    </row>
    <row r="14" spans="1:13" ht="14.25">
      <c r="A14" s="15" t="s">
        <v>116</v>
      </c>
      <c r="B14" s="53">
        <v>28.26</v>
      </c>
      <c r="C14" s="53">
        <v>35.14</v>
      </c>
      <c r="D14" s="53">
        <v>53.28</v>
      </c>
      <c r="E14" s="53">
        <v>36.090000000000003</v>
      </c>
      <c r="F14" s="53">
        <v>64.72</v>
      </c>
      <c r="G14" s="53">
        <v>26.93</v>
      </c>
      <c r="H14" s="53">
        <v>31.65</v>
      </c>
      <c r="I14" s="53">
        <v>33.11</v>
      </c>
      <c r="J14" s="188"/>
      <c r="K14" s="68"/>
      <c r="L14" s="68"/>
      <c r="M14" s="68"/>
    </row>
    <row r="15" spans="1:13" ht="14.25">
      <c r="A15" s="15" t="s">
        <v>117</v>
      </c>
      <c r="B15" s="53">
        <v>29.65</v>
      </c>
      <c r="C15" s="53">
        <v>40.18</v>
      </c>
      <c r="D15" s="53">
        <v>65.03</v>
      </c>
      <c r="E15" s="53">
        <v>37.869999999999997</v>
      </c>
      <c r="F15" s="53">
        <v>62</v>
      </c>
      <c r="G15" s="53">
        <v>39.47</v>
      </c>
      <c r="H15" s="53">
        <v>35.75</v>
      </c>
      <c r="I15" s="53">
        <v>38.369999999999997</v>
      </c>
      <c r="J15" s="188"/>
      <c r="K15" s="68"/>
      <c r="L15" s="68"/>
      <c r="M15" s="68"/>
    </row>
    <row r="16" spans="1:13" ht="14.25">
      <c r="A16" s="15" t="s">
        <v>118</v>
      </c>
      <c r="B16" s="53">
        <v>56.87</v>
      </c>
      <c r="C16" s="53">
        <v>80.94</v>
      </c>
      <c r="D16" s="53">
        <v>79</v>
      </c>
      <c r="E16" s="53">
        <v>70.459999999999994</v>
      </c>
      <c r="F16" s="53">
        <v>101.4</v>
      </c>
      <c r="G16" s="53">
        <v>53.88</v>
      </c>
      <c r="H16" s="53">
        <v>55.89</v>
      </c>
      <c r="I16" s="53">
        <v>54.98</v>
      </c>
      <c r="J16" s="188"/>
      <c r="K16" s="68"/>
      <c r="L16" s="68"/>
      <c r="M16" s="68"/>
    </row>
    <row r="17" spans="1:13" ht="14.25">
      <c r="A17" s="15" t="s">
        <v>34</v>
      </c>
      <c r="B17" s="53">
        <v>72.98</v>
      </c>
      <c r="C17" s="53">
        <v>107.15</v>
      </c>
      <c r="D17" s="53">
        <v>111.39</v>
      </c>
      <c r="E17" s="53">
        <v>90.52</v>
      </c>
      <c r="F17" s="53">
        <v>107.22</v>
      </c>
      <c r="G17" s="53">
        <v>64.28</v>
      </c>
      <c r="H17" s="53">
        <v>82</v>
      </c>
      <c r="I17" s="53">
        <v>81.84</v>
      </c>
      <c r="J17" s="188"/>
      <c r="K17" s="68"/>
      <c r="L17" s="68"/>
      <c r="M17" s="68"/>
    </row>
    <row r="18" spans="1:13" ht="16.5">
      <c r="A18" s="15" t="s">
        <v>138</v>
      </c>
      <c r="B18" s="53">
        <v>65.260000000000005</v>
      </c>
      <c r="C18" s="53">
        <v>102.53</v>
      </c>
      <c r="D18" s="53">
        <v>80.11</v>
      </c>
      <c r="E18" s="53">
        <v>73.14</v>
      </c>
      <c r="F18" s="53">
        <v>93.52</v>
      </c>
      <c r="G18" s="53">
        <v>61.62</v>
      </c>
      <c r="H18" s="53">
        <v>84.25</v>
      </c>
      <c r="I18" s="53">
        <v>76.95</v>
      </c>
      <c r="J18" s="188"/>
      <c r="K18" s="68"/>
      <c r="L18" s="68"/>
      <c r="M18" s="68"/>
    </row>
    <row r="19" spans="1:13" ht="16.5">
      <c r="A19" s="15" t="s">
        <v>139</v>
      </c>
      <c r="B19" s="53">
        <v>61</v>
      </c>
      <c r="C19" s="53">
        <v>98</v>
      </c>
      <c r="D19" s="53">
        <v>75</v>
      </c>
      <c r="E19" s="53">
        <v>66</v>
      </c>
      <c r="F19" s="53">
        <v>96</v>
      </c>
      <c r="G19" s="53">
        <v>59</v>
      </c>
      <c r="H19" s="53">
        <v>81</v>
      </c>
      <c r="I19" s="53">
        <v>71</v>
      </c>
      <c r="J19" s="188"/>
      <c r="K19" s="68"/>
      <c r="L19" s="68"/>
      <c r="M19" s="191"/>
    </row>
    <row r="20" spans="1:13" ht="14.25">
      <c r="A20" s="15"/>
      <c r="B20" s="190"/>
      <c r="C20" s="190"/>
      <c r="D20" s="190"/>
      <c r="E20" s="190"/>
      <c r="F20" s="190"/>
      <c r="G20" s="190"/>
      <c r="H20" s="190"/>
      <c r="I20" s="190"/>
    </row>
    <row r="21" spans="1:13" ht="15">
      <c r="A21" s="35" t="s">
        <v>52</v>
      </c>
      <c r="B21" s="53"/>
      <c r="C21" s="53"/>
      <c r="D21" s="53"/>
      <c r="E21" s="53"/>
      <c r="F21" s="53"/>
      <c r="G21" s="53"/>
      <c r="H21" s="53"/>
      <c r="I21" s="53"/>
      <c r="L21" s="94"/>
    </row>
    <row r="22" spans="1:13" ht="14.25">
      <c r="A22" s="15" t="s">
        <v>38</v>
      </c>
      <c r="B22" s="53">
        <v>72.67</v>
      </c>
      <c r="C22" s="53">
        <v>110.1875</v>
      </c>
      <c r="D22" s="53">
        <v>93.75</v>
      </c>
      <c r="E22" s="53">
        <v>80.125</v>
      </c>
      <c r="F22" s="53">
        <v>107.75</v>
      </c>
      <c r="G22" s="53">
        <v>65.412499999999994</v>
      </c>
      <c r="H22" s="53">
        <v>88</v>
      </c>
      <c r="I22" s="53">
        <v>88.5</v>
      </c>
      <c r="K22" s="97"/>
      <c r="L22" s="96"/>
      <c r="M22" s="68"/>
    </row>
    <row r="23" spans="1:13" ht="14.25">
      <c r="A23" s="15" t="s">
        <v>39</v>
      </c>
      <c r="B23" s="53">
        <v>79.180000000000007</v>
      </c>
      <c r="C23" s="53">
        <v>116.6875</v>
      </c>
      <c r="D23" s="53">
        <v>106</v>
      </c>
      <c r="E23" s="53">
        <v>84.375</v>
      </c>
      <c r="F23" s="53">
        <v>111</v>
      </c>
      <c r="G23" s="53">
        <v>69.67</v>
      </c>
      <c r="H23" s="53" t="s">
        <v>76</v>
      </c>
      <c r="I23" s="53">
        <v>88.5</v>
      </c>
      <c r="K23" s="97"/>
      <c r="L23" s="97"/>
      <c r="M23" s="68"/>
    </row>
    <row r="24" spans="1:13" ht="14.25">
      <c r="A24" s="15" t="s">
        <v>41</v>
      </c>
      <c r="B24" s="53">
        <v>68.14</v>
      </c>
      <c r="C24" s="53">
        <v>105.1</v>
      </c>
      <c r="D24" s="53">
        <v>92.3</v>
      </c>
      <c r="E24" s="53">
        <v>74.05</v>
      </c>
      <c r="F24" s="53">
        <v>101</v>
      </c>
      <c r="G24" s="53">
        <v>60</v>
      </c>
      <c r="H24" s="53" t="s">
        <v>76</v>
      </c>
      <c r="I24" s="53">
        <v>84</v>
      </c>
      <c r="K24" s="97"/>
      <c r="L24" s="97"/>
      <c r="M24" s="68"/>
    </row>
    <row r="25" spans="1:13" ht="14.25">
      <c r="A25" s="15" t="s">
        <v>42</v>
      </c>
      <c r="B25" s="53">
        <v>66</v>
      </c>
      <c r="C25" s="53">
        <v>102.1875</v>
      </c>
      <c r="D25" s="53">
        <v>85.75</v>
      </c>
      <c r="E25" s="53">
        <v>71.1875</v>
      </c>
      <c r="F25" s="53">
        <v>95.375</v>
      </c>
      <c r="G25" s="53">
        <v>61</v>
      </c>
      <c r="H25" s="53">
        <v>87</v>
      </c>
      <c r="I25" s="53">
        <v>76.125</v>
      </c>
      <c r="K25" s="97"/>
      <c r="M25" s="68"/>
    </row>
    <row r="26" spans="1:13" ht="14.25">
      <c r="A26" s="15" t="s">
        <v>43</v>
      </c>
      <c r="B26" s="53">
        <v>63.242500000000007</v>
      </c>
      <c r="C26" s="53">
        <v>100</v>
      </c>
      <c r="D26" s="53">
        <v>81.25</v>
      </c>
      <c r="E26" s="53">
        <v>68.25</v>
      </c>
      <c r="F26" s="53">
        <v>88</v>
      </c>
      <c r="G26" s="53" t="s">
        <v>76</v>
      </c>
      <c r="H26" s="53" t="s">
        <v>76</v>
      </c>
      <c r="I26" s="53">
        <v>63.95</v>
      </c>
      <c r="M26" s="68"/>
    </row>
    <row r="27" spans="1:13" ht="14.25">
      <c r="A27" s="15" t="s">
        <v>45</v>
      </c>
      <c r="B27" s="53">
        <v>58.83</v>
      </c>
      <c r="C27" s="53">
        <v>96.55</v>
      </c>
      <c r="D27" s="53">
        <v>76.599999999999994</v>
      </c>
      <c r="E27" s="53">
        <v>64.599999999999994</v>
      </c>
      <c r="F27" s="53">
        <v>84.4</v>
      </c>
      <c r="G27" s="53" t="s">
        <v>76</v>
      </c>
      <c r="H27" s="53" t="s">
        <v>76</v>
      </c>
      <c r="I27" s="53">
        <v>66.25</v>
      </c>
      <c r="M27" s="68"/>
    </row>
    <row r="28" spans="1:13" ht="14.25">
      <c r="A28" s="15" t="s">
        <v>46</v>
      </c>
      <c r="B28" s="53">
        <v>55.474999999999994</v>
      </c>
      <c r="C28" s="53">
        <v>92.5625</v>
      </c>
      <c r="D28" s="53">
        <v>73</v>
      </c>
      <c r="E28" s="53">
        <v>62.625</v>
      </c>
      <c r="F28" s="53">
        <v>81.75</v>
      </c>
      <c r="G28" s="53" t="s">
        <v>76</v>
      </c>
      <c r="H28" s="53">
        <v>82</v>
      </c>
      <c r="I28" s="53" t="s">
        <v>76</v>
      </c>
      <c r="M28" s="68"/>
    </row>
    <row r="29" spans="1:13" ht="14.25">
      <c r="A29" s="15" t="s">
        <v>47</v>
      </c>
      <c r="B29" s="53">
        <v>52.484999999999999</v>
      </c>
      <c r="C29" s="53">
        <v>91.75</v>
      </c>
      <c r="D29" s="53">
        <v>68.625</v>
      </c>
      <c r="E29" s="53">
        <v>62.125</v>
      </c>
      <c r="F29" s="53">
        <v>85.5</v>
      </c>
      <c r="G29" s="53">
        <v>52</v>
      </c>
      <c r="H29" s="53" t="s">
        <v>76</v>
      </c>
      <c r="I29" s="53" t="s">
        <v>76</v>
      </c>
      <c r="M29" s="68"/>
    </row>
    <row r="30" spans="1:13" ht="14.25">
      <c r="A30" s="15" t="s">
        <v>49</v>
      </c>
      <c r="B30" s="53">
        <v>60.007999999999996</v>
      </c>
      <c r="C30" s="53">
        <v>97.85</v>
      </c>
      <c r="D30" s="53">
        <v>67</v>
      </c>
      <c r="E30" s="53">
        <v>71.849999999999994</v>
      </c>
      <c r="F30" s="53">
        <v>89.6</v>
      </c>
      <c r="G30" s="53" t="s">
        <v>76</v>
      </c>
      <c r="H30" s="53">
        <v>80</v>
      </c>
      <c r="I30" s="53">
        <v>74.59</v>
      </c>
      <c r="M30" s="68"/>
    </row>
    <row r="31" spans="1:13" ht="14.25">
      <c r="A31" s="15" t="s">
        <v>50</v>
      </c>
      <c r="B31" s="53">
        <v>70.887499999999989</v>
      </c>
      <c r="C31" s="53">
        <v>107.75</v>
      </c>
      <c r="D31" s="53">
        <v>73.25</v>
      </c>
      <c r="E31" s="53">
        <v>83</v>
      </c>
      <c r="F31" s="53">
        <v>94.25</v>
      </c>
      <c r="G31" s="53" t="s">
        <v>76</v>
      </c>
      <c r="H31" s="53" t="s">
        <v>76</v>
      </c>
      <c r="I31" s="53">
        <v>74.625</v>
      </c>
      <c r="M31" s="68"/>
    </row>
    <row r="32" spans="1:13" ht="14.25">
      <c r="A32" s="15" t="s">
        <v>51</v>
      </c>
      <c r="B32" s="53">
        <v>70.966999999999999</v>
      </c>
      <c r="C32" s="53">
        <v>108.19</v>
      </c>
      <c r="D32" s="53">
        <v>72.69</v>
      </c>
      <c r="E32" s="53">
        <v>81.69</v>
      </c>
      <c r="F32" s="53">
        <v>95.25</v>
      </c>
      <c r="G32" s="53" t="s">
        <v>76</v>
      </c>
      <c r="H32" s="53" t="s">
        <v>76</v>
      </c>
      <c r="I32" s="53">
        <v>76.7</v>
      </c>
      <c r="M32" s="68"/>
    </row>
    <row r="33" spans="1:13" ht="14.25">
      <c r="A33" s="15" t="s">
        <v>37</v>
      </c>
      <c r="B33" s="53">
        <v>65.227999999999994</v>
      </c>
      <c r="C33" s="53">
        <v>101.5</v>
      </c>
      <c r="D33" s="53">
        <v>71.099999999999994</v>
      </c>
      <c r="E33" s="53">
        <v>73.75</v>
      </c>
      <c r="F33" s="53">
        <v>88.4</v>
      </c>
      <c r="G33" s="53" t="s">
        <v>76</v>
      </c>
      <c r="H33" s="53" t="s">
        <v>76</v>
      </c>
      <c r="I33" s="53">
        <v>76.25</v>
      </c>
      <c r="K33" s="68"/>
      <c r="L33" s="68"/>
      <c r="M33" s="68"/>
    </row>
    <row r="34" spans="1:13" ht="14.25">
      <c r="A34" s="15"/>
      <c r="B34" s="53"/>
      <c r="C34" s="53"/>
      <c r="D34" s="53"/>
      <c r="E34" s="53"/>
      <c r="F34" s="53"/>
      <c r="G34" s="53"/>
      <c r="H34" s="53"/>
      <c r="I34" s="53"/>
      <c r="K34" s="68"/>
      <c r="L34" s="68"/>
      <c r="M34" s="68"/>
    </row>
    <row r="35" spans="1:13" ht="15">
      <c r="A35" s="35" t="s">
        <v>158</v>
      </c>
      <c r="B35" s="53"/>
      <c r="C35" s="53"/>
      <c r="D35" s="53"/>
      <c r="E35" s="53"/>
      <c r="F35" s="53"/>
      <c r="G35" s="53"/>
      <c r="H35" s="53"/>
      <c r="I35" s="53"/>
      <c r="K35" s="68"/>
      <c r="L35" s="68"/>
      <c r="M35" s="68"/>
    </row>
    <row r="36" spans="1:13" ht="14.25">
      <c r="A36" s="14" t="s">
        <v>38</v>
      </c>
      <c r="B36" s="138">
        <v>56.599999999999994</v>
      </c>
      <c r="C36" s="138">
        <v>92</v>
      </c>
      <c r="D36" s="138">
        <v>64.75</v>
      </c>
      <c r="E36" s="138">
        <v>65.1875</v>
      </c>
      <c r="F36" s="138">
        <v>83.25</v>
      </c>
      <c r="G36" s="138" t="s">
        <v>76</v>
      </c>
      <c r="H36" s="189">
        <v>90</v>
      </c>
      <c r="I36" s="138">
        <v>66.88000000000001</v>
      </c>
      <c r="J36" s="188"/>
      <c r="K36" s="68"/>
      <c r="L36" s="68"/>
      <c r="M36" s="68"/>
    </row>
    <row r="37" spans="1:13" ht="16.5">
      <c r="A37" s="46" t="s">
        <v>140</v>
      </c>
      <c r="B37" s="66"/>
      <c r="C37" s="66"/>
      <c r="D37" s="66"/>
      <c r="E37" s="66"/>
      <c r="F37" s="66"/>
      <c r="G37" s="66"/>
      <c r="H37" s="66"/>
      <c r="I37" s="66"/>
    </row>
    <row r="38" spans="1:13" ht="16.5">
      <c r="A38" s="15" t="s">
        <v>141</v>
      </c>
      <c r="B38" s="66"/>
      <c r="C38" s="66"/>
      <c r="D38" s="66"/>
      <c r="E38" s="66"/>
      <c r="F38" s="66"/>
      <c r="G38" s="66"/>
      <c r="H38" s="66"/>
      <c r="I38" s="66"/>
    </row>
    <row r="39" spans="1:13" ht="14.25">
      <c r="A39" s="15" t="s">
        <v>142</v>
      </c>
      <c r="B39" s="15"/>
      <c r="C39" s="15"/>
      <c r="D39" s="15"/>
      <c r="E39" s="15"/>
      <c r="F39" s="66"/>
      <c r="G39" s="15"/>
      <c r="H39" s="15"/>
      <c r="I39" s="15"/>
    </row>
    <row r="40" spans="1:13" ht="14.25">
      <c r="A40" s="20" t="s">
        <v>55</v>
      </c>
      <c r="B40" s="41">
        <f>Contents!A16</f>
        <v>45244</v>
      </c>
      <c r="C40" s="15"/>
      <c r="D40" s="15"/>
      <c r="E40" s="15"/>
      <c r="F40" s="15"/>
      <c r="G40" s="15"/>
      <c r="H40" s="15"/>
      <c r="I40" s="15"/>
    </row>
    <row r="41" spans="1:13" ht="15.75">
      <c r="C41" s="67"/>
      <c r="G41" s="67"/>
      <c r="H41" s="67"/>
      <c r="I41" s="67"/>
    </row>
    <row r="42" spans="1:13" ht="15.75">
      <c r="B42" s="68"/>
      <c r="C42" s="68"/>
      <c r="D42" s="68"/>
      <c r="E42" s="68"/>
      <c r="F42" s="68"/>
      <c r="G42" s="68"/>
      <c r="H42" s="67"/>
      <c r="I42" s="67"/>
    </row>
    <row r="43" spans="1:13" ht="15.75">
      <c r="B43" s="98"/>
      <c r="C43" s="98"/>
      <c r="D43" s="98"/>
      <c r="E43" s="98"/>
      <c r="F43" s="98"/>
      <c r="G43" s="98"/>
      <c r="H43" s="67"/>
      <c r="I43" s="67"/>
    </row>
    <row r="44" spans="1:13" ht="15.75">
      <c r="C44" s="67"/>
      <c r="G44" s="67"/>
      <c r="H44" s="67"/>
      <c r="I44" s="67"/>
    </row>
    <row r="45" spans="1:13" ht="15.75">
      <c r="C45" s="67"/>
      <c r="G45" s="67"/>
      <c r="H45" s="67"/>
      <c r="I45" s="67"/>
    </row>
    <row r="46" spans="1:13" ht="15.75">
      <c r="C46" s="67"/>
      <c r="G46" s="67"/>
      <c r="H46" s="67"/>
      <c r="I46" s="67"/>
    </row>
    <row r="47" spans="1:13" ht="15.75">
      <c r="C47" s="67"/>
      <c r="G47" s="67"/>
      <c r="H47" s="67"/>
      <c r="I47" s="67"/>
    </row>
    <row r="48" spans="1:13" ht="15.75">
      <c r="C48" s="67"/>
      <c r="G48" s="67"/>
      <c r="H48" s="67"/>
      <c r="I48" s="67"/>
    </row>
    <row r="49" spans="3:9" ht="15.75">
      <c r="C49" s="67"/>
      <c r="G49" s="67"/>
      <c r="H49" s="67"/>
      <c r="I49" s="67"/>
    </row>
    <row r="50" spans="3:9" ht="15.75">
      <c r="C50" s="67"/>
      <c r="G50" s="67"/>
      <c r="H50" s="67"/>
      <c r="I50" s="67"/>
    </row>
    <row r="51" spans="3:9" ht="15.75">
      <c r="C51" s="67"/>
      <c r="G51" s="67"/>
      <c r="H51" s="67"/>
      <c r="I51" s="67"/>
    </row>
    <row r="52" spans="3:9" ht="15.75">
      <c r="C52" s="67"/>
      <c r="G52" s="67"/>
      <c r="H52" s="67"/>
      <c r="I52" s="67"/>
    </row>
    <row r="53" spans="3:9" ht="15.75">
      <c r="C53" s="67"/>
      <c r="G53" s="67"/>
      <c r="H53" s="67"/>
      <c r="I53" s="67"/>
    </row>
    <row r="54" spans="3:9" ht="15.75">
      <c r="C54" s="67"/>
      <c r="G54" s="67"/>
      <c r="H54" s="67"/>
      <c r="I54" s="67"/>
    </row>
    <row r="55" spans="3:9" ht="15.75">
      <c r="C55" s="67"/>
      <c r="G55" s="67"/>
      <c r="H55" s="67"/>
      <c r="I55" s="67"/>
    </row>
    <row r="56" spans="3:9" ht="15.75">
      <c r="C56" s="67"/>
      <c r="G56" s="67"/>
      <c r="H56" s="67"/>
      <c r="I56" s="67"/>
    </row>
    <row r="57" spans="3:9" ht="15.75">
      <c r="C57" s="67"/>
      <c r="H57" s="67"/>
      <c r="I57" s="67"/>
    </row>
    <row r="58" spans="3:9" ht="15.75">
      <c r="C58" s="67"/>
      <c r="H58" s="67"/>
      <c r="I58" s="67"/>
    </row>
    <row r="59" spans="3:9" ht="15.75">
      <c r="C59" s="67"/>
      <c r="F59" s="68"/>
      <c r="H59" s="67"/>
      <c r="I59" s="67"/>
    </row>
    <row r="60" spans="3:9" ht="15.75">
      <c r="F60" s="68"/>
      <c r="H60" s="67"/>
      <c r="I60" s="67"/>
    </row>
  </sheetData>
  <phoneticPr fontId="38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0"/>
  <sheetViews>
    <sheetView showGridLines="0" zoomScale="70" zoomScaleNormal="70" workbookViewId="0">
      <pane xSplit="1" ySplit="4" topLeftCell="B5" activePane="bottomRight" state="frozen"/>
      <selection activeCell="P20" sqref="P20"/>
      <selection pane="topRight" activeCell="P20" sqref="P20"/>
      <selection pane="bottomLeft" activeCell="P20" sqref="P20"/>
      <selection pane="bottomRight"/>
    </sheetView>
  </sheetViews>
  <sheetFormatPr defaultColWidth="9.140625" defaultRowHeight="12.75"/>
  <cols>
    <col min="1" max="1" width="11.7109375" customWidth="1"/>
    <col min="2" max="7" width="13.7109375" customWidth="1"/>
    <col min="8" max="8" width="10.140625" bestFit="1" customWidth="1"/>
    <col min="9" max="9" width="11.42578125" customWidth="1"/>
    <col min="11" max="11" width="8.85546875" customWidth="1"/>
    <col min="12" max="12" width="18" bestFit="1" customWidth="1"/>
  </cols>
  <sheetData>
    <row r="1" spans="1:28" ht="14.25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123</v>
      </c>
      <c r="C2" s="69" t="s">
        <v>124</v>
      </c>
      <c r="D2" s="69" t="s">
        <v>125</v>
      </c>
      <c r="E2" s="69" t="s">
        <v>127</v>
      </c>
      <c r="F2" s="17" t="s">
        <v>143</v>
      </c>
      <c r="G2" s="17" t="s">
        <v>144</v>
      </c>
      <c r="AB2" s="70"/>
    </row>
    <row r="3" spans="1:28" ht="15.6" customHeight="1">
      <c r="A3" s="14" t="s">
        <v>103</v>
      </c>
      <c r="B3" s="23" t="s">
        <v>145</v>
      </c>
      <c r="C3" s="23" t="s">
        <v>146</v>
      </c>
      <c r="D3" s="23" t="s">
        <v>147</v>
      </c>
      <c r="E3" s="23" t="s">
        <v>148</v>
      </c>
      <c r="F3" s="23" t="s">
        <v>149</v>
      </c>
      <c r="G3" s="23" t="s">
        <v>150</v>
      </c>
      <c r="AB3" s="70"/>
    </row>
    <row r="4" spans="1:28" ht="14.25">
      <c r="A4" s="63" t="s">
        <v>151</v>
      </c>
      <c r="C4" s="64"/>
      <c r="D4" s="64"/>
      <c r="E4" s="64"/>
      <c r="F4" s="64"/>
      <c r="G4" s="64"/>
      <c r="AB4" s="70"/>
    </row>
    <row r="5" spans="1:28" ht="14.25">
      <c r="A5" s="15"/>
      <c r="B5" s="15"/>
      <c r="C5" s="15"/>
      <c r="D5" s="15"/>
      <c r="E5" s="15"/>
      <c r="F5" s="15"/>
      <c r="G5" s="15"/>
      <c r="AB5" s="70"/>
    </row>
    <row r="6" spans="1:28" ht="14.25">
      <c r="A6" s="15" t="s">
        <v>108</v>
      </c>
      <c r="B6" s="65">
        <v>345.52</v>
      </c>
      <c r="C6" s="65">
        <v>273.83999999999997</v>
      </c>
      <c r="D6" s="65">
        <v>219.72</v>
      </c>
      <c r="E6" s="57" t="s">
        <v>76</v>
      </c>
      <c r="F6" s="65">
        <v>263.63</v>
      </c>
      <c r="G6" s="65">
        <v>240.65</v>
      </c>
      <c r="AB6" s="70"/>
    </row>
    <row r="7" spans="1:28" ht="14.25">
      <c r="A7" s="15" t="s">
        <v>109</v>
      </c>
      <c r="B7" s="65">
        <v>393.53</v>
      </c>
      <c r="C7" s="65">
        <v>275.13</v>
      </c>
      <c r="D7" s="65">
        <v>246.75</v>
      </c>
      <c r="E7" s="57" t="s">
        <v>76</v>
      </c>
      <c r="F7" s="65">
        <v>307.58999999999997</v>
      </c>
      <c r="G7" s="65">
        <v>265.68</v>
      </c>
      <c r="AB7" s="70"/>
    </row>
    <row r="8" spans="1:28" ht="14.25">
      <c r="A8" s="15" t="s">
        <v>110</v>
      </c>
      <c r="B8" s="65">
        <v>468.11</v>
      </c>
      <c r="C8" s="65">
        <v>331.52</v>
      </c>
      <c r="D8" s="65">
        <v>241.57</v>
      </c>
      <c r="E8" s="57" t="s">
        <v>76</v>
      </c>
      <c r="F8" s="65">
        <v>354.22</v>
      </c>
      <c r="G8" s="65">
        <v>329.31</v>
      </c>
      <c r="AB8" s="70"/>
    </row>
    <row r="9" spans="1:28" ht="14.25">
      <c r="A9" s="15" t="s">
        <v>111</v>
      </c>
      <c r="B9" s="65">
        <v>489.94</v>
      </c>
      <c r="C9" s="65">
        <v>377.71</v>
      </c>
      <c r="D9" s="65">
        <v>238.87</v>
      </c>
      <c r="E9" s="57" t="s">
        <v>76</v>
      </c>
      <c r="F9" s="65">
        <v>359.7</v>
      </c>
      <c r="G9" s="65">
        <v>337.23</v>
      </c>
      <c r="AB9" s="70"/>
    </row>
    <row r="10" spans="1:28" ht="14.25">
      <c r="A10" s="15" t="s">
        <v>112</v>
      </c>
      <c r="B10" s="65">
        <v>368.49</v>
      </c>
      <c r="C10" s="65">
        <v>304.27</v>
      </c>
      <c r="D10" s="65">
        <v>209.97</v>
      </c>
      <c r="E10" s="57" t="s">
        <v>76</v>
      </c>
      <c r="F10" s="65">
        <v>301.2</v>
      </c>
      <c r="G10" s="65">
        <v>256.58</v>
      </c>
      <c r="AB10" s="70"/>
    </row>
    <row r="11" spans="1:28" ht="14.25">
      <c r="A11" s="15" t="s">
        <v>113</v>
      </c>
      <c r="B11" s="65">
        <v>324.56</v>
      </c>
      <c r="C11" s="65">
        <v>261.19</v>
      </c>
      <c r="D11" s="65">
        <v>153.16999999999999</v>
      </c>
      <c r="E11" s="57" t="s">
        <v>76</v>
      </c>
      <c r="F11" s="65">
        <v>262.2</v>
      </c>
      <c r="G11" s="65">
        <v>260.23</v>
      </c>
      <c r="AB11" s="70"/>
    </row>
    <row r="12" spans="1:28" ht="14.25">
      <c r="A12" s="15" t="s">
        <v>114</v>
      </c>
      <c r="B12" s="65">
        <v>316.88</v>
      </c>
      <c r="C12" s="65">
        <v>208.61</v>
      </c>
      <c r="D12" s="65">
        <v>145.1</v>
      </c>
      <c r="E12" s="57" t="s">
        <v>76</v>
      </c>
      <c r="F12" s="65">
        <v>267.94</v>
      </c>
      <c r="G12" s="65">
        <v>282.49</v>
      </c>
      <c r="AB12" s="70"/>
    </row>
    <row r="13" spans="1:28" ht="14.25">
      <c r="A13" s="15" t="s">
        <v>115</v>
      </c>
      <c r="B13" s="65">
        <v>345.02</v>
      </c>
      <c r="C13" s="65">
        <v>260.88</v>
      </c>
      <c r="D13" s="65">
        <v>173.53</v>
      </c>
      <c r="E13" s="57" t="s">
        <v>76</v>
      </c>
      <c r="F13" s="65">
        <v>291.14999999999998</v>
      </c>
      <c r="G13" s="65">
        <v>239.15</v>
      </c>
    </row>
    <row r="14" spans="1:28" ht="14.25">
      <c r="A14" s="15" t="s">
        <v>116</v>
      </c>
      <c r="B14" s="65">
        <v>308.27999999999997</v>
      </c>
      <c r="C14" s="65">
        <v>228.64</v>
      </c>
      <c r="D14" s="65">
        <v>164.16</v>
      </c>
      <c r="E14" s="57" t="s">
        <v>76</v>
      </c>
      <c r="F14" s="65">
        <v>272.38</v>
      </c>
      <c r="G14" s="65">
        <v>225.77</v>
      </c>
    </row>
    <row r="15" spans="1:28" ht="14.25">
      <c r="A15" s="15" t="s">
        <v>117</v>
      </c>
      <c r="B15" s="65">
        <v>299.5</v>
      </c>
      <c r="C15" s="65">
        <v>247.04</v>
      </c>
      <c r="D15" s="65">
        <v>187.7</v>
      </c>
      <c r="E15" s="57" t="s">
        <v>76</v>
      </c>
      <c r="F15" s="65">
        <v>273.99</v>
      </c>
      <c r="G15" s="65">
        <v>245.88</v>
      </c>
    </row>
    <row r="16" spans="1:28" ht="14.25">
      <c r="A16" s="15" t="s">
        <v>118</v>
      </c>
      <c r="B16" s="65">
        <v>392.31</v>
      </c>
      <c r="C16" s="65">
        <v>375.51</v>
      </c>
      <c r="D16" s="109">
        <v>246.22</v>
      </c>
      <c r="E16" s="57" t="s">
        <v>76</v>
      </c>
      <c r="F16" s="65">
        <v>351.87</v>
      </c>
      <c r="G16" s="65">
        <v>288.12</v>
      </c>
    </row>
    <row r="17" spans="1:13" ht="14.25">
      <c r="A17" s="15" t="s">
        <v>34</v>
      </c>
      <c r="B17" s="65">
        <v>439.81</v>
      </c>
      <c r="C17" s="65">
        <v>355.33</v>
      </c>
      <c r="D17" s="65">
        <v>279.98</v>
      </c>
      <c r="E17" s="57" t="s">
        <v>76</v>
      </c>
      <c r="F17" s="65">
        <v>439.1</v>
      </c>
      <c r="G17" s="65">
        <v>332.21</v>
      </c>
    </row>
    <row r="18" spans="1:13" ht="16.5">
      <c r="A18" s="15" t="s">
        <v>138</v>
      </c>
      <c r="B18" s="65">
        <v>451.91</v>
      </c>
      <c r="C18" s="65">
        <v>379.13</v>
      </c>
      <c r="D18" s="65">
        <v>244.34</v>
      </c>
      <c r="E18" s="57" t="s">
        <v>76</v>
      </c>
      <c r="F18" s="65">
        <v>431.34</v>
      </c>
      <c r="G18" s="109">
        <v>359.06</v>
      </c>
      <c r="I18" s="68"/>
    </row>
    <row r="19" spans="1:13" ht="16.5">
      <c r="A19" s="15" t="s">
        <v>139</v>
      </c>
      <c r="B19" s="65">
        <v>380</v>
      </c>
      <c r="C19" s="65">
        <v>345</v>
      </c>
      <c r="D19" s="65">
        <v>230</v>
      </c>
      <c r="E19" s="57" t="s">
        <v>76</v>
      </c>
      <c r="F19" s="65">
        <v>350</v>
      </c>
      <c r="G19" s="109">
        <v>280</v>
      </c>
      <c r="I19" s="68"/>
    </row>
    <row r="20" spans="1:13" ht="14.25">
      <c r="A20" s="15"/>
      <c r="B20" s="65"/>
      <c r="C20" s="65"/>
      <c r="D20" s="65"/>
      <c r="E20" s="57"/>
      <c r="F20" s="65"/>
      <c r="G20" s="65"/>
      <c r="I20" s="71"/>
      <c r="J20" s="72"/>
      <c r="K20" s="72"/>
      <c r="L20" s="72"/>
      <c r="M20" s="72"/>
    </row>
    <row r="21" spans="1:13" ht="15">
      <c r="A21" s="35" t="s">
        <v>52</v>
      </c>
      <c r="B21" s="109"/>
      <c r="C21" s="65"/>
      <c r="D21" s="65"/>
      <c r="E21" s="57"/>
      <c r="F21" s="65"/>
      <c r="G21" s="65"/>
      <c r="H21" s="53"/>
    </row>
    <row r="22" spans="1:13" ht="14.25">
      <c r="A22" s="15" t="s">
        <v>38</v>
      </c>
      <c r="B22" s="109">
        <v>468.67499999999995</v>
      </c>
      <c r="C22" s="65">
        <v>451.875</v>
      </c>
      <c r="D22" s="65" t="s">
        <v>76</v>
      </c>
      <c r="E22" s="57" t="s">
        <v>76</v>
      </c>
      <c r="F22" s="65">
        <v>409.17499999999995</v>
      </c>
      <c r="G22" s="65" t="s">
        <v>76</v>
      </c>
      <c r="H22" s="53"/>
      <c r="I22" s="68"/>
    </row>
    <row r="23" spans="1:13" ht="14.25">
      <c r="A23" s="15" t="s">
        <v>39</v>
      </c>
      <c r="B23" s="109">
        <v>436.74999999999994</v>
      </c>
      <c r="C23" s="65">
        <v>405</v>
      </c>
      <c r="D23" s="65" t="s">
        <v>76</v>
      </c>
      <c r="E23" s="57" t="s">
        <v>76</v>
      </c>
      <c r="F23" s="65">
        <v>402.99999999999994</v>
      </c>
      <c r="G23" s="65">
        <v>357.5</v>
      </c>
      <c r="H23" s="53"/>
      <c r="I23" s="68"/>
    </row>
    <row r="24" spans="1:13" ht="14.25">
      <c r="A24" s="15" t="s">
        <v>41</v>
      </c>
      <c r="B24" s="109">
        <v>462.85</v>
      </c>
      <c r="C24" s="65">
        <v>390.625</v>
      </c>
      <c r="D24" s="65">
        <v>200</v>
      </c>
      <c r="E24" s="57" t="s">
        <v>76</v>
      </c>
      <c r="F24" s="65">
        <v>437.09999999999997</v>
      </c>
      <c r="G24" s="65">
        <v>368.5</v>
      </c>
      <c r="H24" s="53"/>
      <c r="I24" s="68"/>
    </row>
    <row r="25" spans="1:13" ht="14.25">
      <c r="A25" s="15" t="s">
        <v>42</v>
      </c>
      <c r="B25" s="109">
        <v>482.40000000000003</v>
      </c>
      <c r="C25" s="65">
        <v>386.25</v>
      </c>
      <c r="D25" s="65">
        <v>355</v>
      </c>
      <c r="E25" s="57" t="s">
        <v>76</v>
      </c>
      <c r="F25" s="65">
        <v>474.02500000000003</v>
      </c>
      <c r="G25" s="65">
        <v>397.5</v>
      </c>
      <c r="H25" s="53"/>
      <c r="I25" s="68"/>
    </row>
    <row r="26" spans="1:13" ht="14.25">
      <c r="A26" s="15" t="s">
        <v>43</v>
      </c>
      <c r="B26" s="109">
        <v>500.52499999999998</v>
      </c>
      <c r="C26" s="65">
        <v>392.5</v>
      </c>
      <c r="D26" s="65">
        <v>336.25</v>
      </c>
      <c r="E26" s="57" t="s">
        <v>76</v>
      </c>
      <c r="F26" s="65">
        <v>501.02499999999998</v>
      </c>
      <c r="G26" s="65">
        <v>412.5</v>
      </c>
      <c r="H26" s="53"/>
      <c r="I26" s="68"/>
    </row>
    <row r="27" spans="1:13" ht="14.25">
      <c r="A27" s="15" t="s">
        <v>45</v>
      </c>
      <c r="B27" s="109">
        <v>484.4</v>
      </c>
      <c r="C27" s="65">
        <v>386.25</v>
      </c>
      <c r="D27" s="65">
        <v>308</v>
      </c>
      <c r="E27" s="57" t="s">
        <v>76</v>
      </c>
      <c r="F27" s="65">
        <v>466.6</v>
      </c>
      <c r="G27" s="65">
        <v>380.4</v>
      </c>
      <c r="H27" s="53"/>
      <c r="I27" s="68"/>
    </row>
    <row r="28" spans="1:13" ht="14.25">
      <c r="A28" s="15" t="s">
        <v>46</v>
      </c>
      <c r="B28" s="109">
        <v>457.25</v>
      </c>
      <c r="C28" s="65">
        <v>364.375</v>
      </c>
      <c r="D28" s="65">
        <v>252.5</v>
      </c>
      <c r="E28" s="57" t="s">
        <v>76</v>
      </c>
      <c r="F28" s="65">
        <v>434.75</v>
      </c>
      <c r="G28" s="65">
        <v>352.5</v>
      </c>
      <c r="H28" s="53"/>
      <c r="I28" s="68"/>
    </row>
    <row r="29" spans="1:13" ht="14.25">
      <c r="A29" s="15" t="s">
        <v>47</v>
      </c>
      <c r="B29" s="109">
        <v>423.57499999999999</v>
      </c>
      <c r="C29" s="65">
        <v>370.625</v>
      </c>
      <c r="D29" s="65">
        <v>237.5</v>
      </c>
      <c r="E29" s="57" t="s">
        <v>76</v>
      </c>
      <c r="F29" s="65">
        <v>407.02500000000003</v>
      </c>
      <c r="G29" s="65">
        <v>352.5</v>
      </c>
      <c r="H29" s="53"/>
      <c r="I29" s="68"/>
    </row>
    <row r="30" spans="1:13" ht="14.25">
      <c r="A30" s="15" t="s">
        <v>49</v>
      </c>
      <c r="B30" s="109">
        <v>413.46000000000004</v>
      </c>
      <c r="C30" s="65">
        <v>362.5</v>
      </c>
      <c r="D30" s="65">
        <v>208.00200000000001</v>
      </c>
      <c r="E30" s="57" t="s">
        <v>76</v>
      </c>
      <c r="F30" s="65">
        <v>405.06000000000006</v>
      </c>
      <c r="G30" s="65">
        <v>354</v>
      </c>
      <c r="H30" s="53"/>
      <c r="I30" s="68"/>
    </row>
    <row r="31" spans="1:13" ht="14.25">
      <c r="A31" s="15" t="s">
        <v>50</v>
      </c>
      <c r="B31" s="109">
        <v>443.15</v>
      </c>
      <c r="C31" s="65">
        <v>347.5</v>
      </c>
      <c r="D31" s="65">
        <v>159.16749999999999</v>
      </c>
      <c r="E31" s="57" t="s">
        <v>76</v>
      </c>
      <c r="F31" s="65">
        <v>432.1</v>
      </c>
      <c r="G31" s="65">
        <v>335</v>
      </c>
      <c r="H31" s="53"/>
      <c r="I31" s="68"/>
    </row>
    <row r="32" spans="1:13" ht="14.25">
      <c r="A32" s="15" t="s">
        <v>51</v>
      </c>
      <c r="B32" s="109">
        <v>438.8</v>
      </c>
      <c r="C32" s="65">
        <v>348.33</v>
      </c>
      <c r="D32" s="65">
        <v>185</v>
      </c>
      <c r="E32" s="57" t="s">
        <v>76</v>
      </c>
      <c r="F32" s="65">
        <v>412.9</v>
      </c>
      <c r="G32" s="65">
        <v>321.25</v>
      </c>
      <c r="H32" s="53"/>
      <c r="I32" s="68"/>
    </row>
    <row r="33" spans="1:10" ht="14.25">
      <c r="A33" s="15" t="s">
        <v>37</v>
      </c>
      <c r="B33" s="109">
        <v>411.07</v>
      </c>
      <c r="C33" s="65">
        <v>343.75</v>
      </c>
      <c r="D33" s="65">
        <v>202</v>
      </c>
      <c r="E33" s="57" t="s">
        <v>76</v>
      </c>
      <c r="F33" s="65">
        <v>393.26</v>
      </c>
      <c r="G33" s="65">
        <v>318</v>
      </c>
      <c r="H33" s="53"/>
    </row>
    <row r="34" spans="1:10" ht="14.25">
      <c r="A34" s="15"/>
      <c r="B34" s="109"/>
      <c r="C34" s="65"/>
      <c r="D34" s="65"/>
      <c r="E34" s="57"/>
      <c r="F34" s="65"/>
      <c r="G34" s="65"/>
      <c r="H34" s="53"/>
    </row>
    <row r="35" spans="1:10" ht="15">
      <c r="A35" s="35" t="s">
        <v>158</v>
      </c>
      <c r="B35" s="109"/>
      <c r="C35" s="65"/>
      <c r="D35" s="65"/>
      <c r="E35" s="57"/>
      <c r="F35" s="65"/>
      <c r="G35" s="65"/>
      <c r="H35" s="53"/>
    </row>
    <row r="36" spans="1:10" ht="14.25">
      <c r="A36" s="14" t="s">
        <v>38</v>
      </c>
      <c r="B36" s="139">
        <v>416.16</v>
      </c>
      <c r="C36" s="140">
        <v>348.75</v>
      </c>
      <c r="D36" s="140">
        <v>229.16500000000002</v>
      </c>
      <c r="E36" s="141" t="s">
        <v>76</v>
      </c>
      <c r="F36" s="140">
        <v>407.1</v>
      </c>
      <c r="G36" s="140">
        <v>325</v>
      </c>
      <c r="H36" s="53"/>
    </row>
    <row r="37" spans="1:10" ht="16.5">
      <c r="A37" s="46" t="s">
        <v>152</v>
      </c>
      <c r="B37" s="73"/>
      <c r="C37" s="73"/>
      <c r="D37" s="73"/>
      <c r="E37" s="73"/>
      <c r="F37" s="73"/>
      <c r="G37" s="73"/>
      <c r="I37" s="71"/>
    </row>
    <row r="38" spans="1:10" ht="16.5">
      <c r="A38" s="46" t="s">
        <v>153</v>
      </c>
      <c r="B38" s="74"/>
      <c r="C38" s="74"/>
      <c r="D38" s="74"/>
      <c r="E38" s="74"/>
      <c r="F38" s="74"/>
      <c r="G38" s="74"/>
      <c r="I38" s="71"/>
      <c r="J38" s="71"/>
    </row>
    <row r="39" spans="1:10" ht="14.25">
      <c r="A39" s="15" t="s">
        <v>154</v>
      </c>
      <c r="B39" s="15"/>
      <c r="C39" s="15"/>
      <c r="D39" s="15"/>
      <c r="E39" s="15"/>
      <c r="F39" s="74"/>
      <c r="G39" s="74"/>
      <c r="I39" s="71"/>
      <c r="J39" s="71"/>
    </row>
    <row r="40" spans="1:10" ht="14.25">
      <c r="A40" s="20" t="s">
        <v>55</v>
      </c>
      <c r="B40" s="41">
        <f>Contents!A16</f>
        <v>45244</v>
      </c>
      <c r="C40" s="15"/>
      <c r="D40" s="15"/>
      <c r="E40" s="15"/>
      <c r="F40" s="74"/>
      <c r="G40" s="74"/>
      <c r="I40" s="75"/>
      <c r="J40" s="75"/>
    </row>
    <row r="41" spans="1:10" ht="14.25">
      <c r="F41" s="74"/>
      <c r="G41" s="74"/>
      <c r="I41" s="75"/>
      <c r="J41" s="75"/>
    </row>
    <row r="42" spans="1:10" ht="14.25">
      <c r="B42" s="68"/>
      <c r="F42" s="74"/>
      <c r="G42" s="74"/>
      <c r="I42" s="71"/>
      <c r="J42" s="71"/>
    </row>
    <row r="43" spans="1:10">
      <c r="B43" s="122"/>
      <c r="I43" s="71"/>
      <c r="J43" s="71"/>
    </row>
    <row r="44" spans="1:10">
      <c r="I44" s="71"/>
      <c r="J44" s="71"/>
    </row>
    <row r="45" spans="1:10">
      <c r="I45" s="71"/>
      <c r="J45" s="71"/>
    </row>
    <row r="46" spans="1:10">
      <c r="I46" s="71"/>
      <c r="J46" s="71"/>
    </row>
    <row r="47" spans="1:10">
      <c r="I47" s="71"/>
      <c r="J47" s="71"/>
    </row>
    <row r="49" spans="9:10">
      <c r="I49" s="76"/>
      <c r="J49" s="76"/>
    </row>
    <row r="50" spans="9:10">
      <c r="I50" s="76"/>
      <c r="J50" s="76"/>
    </row>
  </sheetData>
  <phoneticPr fontId="38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3A77B-5040-42F7-BB5A-680BB1DEF1DE}">
  <dimension ref="A1:H88"/>
  <sheetViews>
    <sheetView tabSelected="1" zoomScale="90" zoomScaleNormal="90" workbookViewId="0">
      <selection activeCell="H27" sqref="H27"/>
    </sheetView>
  </sheetViews>
  <sheetFormatPr defaultColWidth="9.140625" defaultRowHeight="14.25"/>
  <cols>
    <col min="1" max="1" width="15.42578125" style="15" customWidth="1"/>
    <col min="2" max="2" width="12.140625" style="15" bestFit="1" customWidth="1"/>
    <col min="3" max="3" width="10.42578125" style="15" customWidth="1"/>
    <col min="4" max="4" width="7.85546875" style="15" customWidth="1"/>
    <col min="5" max="5" width="9.28515625" style="15" bestFit="1" customWidth="1"/>
    <col min="6" max="8" width="7.85546875" style="15" customWidth="1"/>
    <col min="9" max="16384" width="9.140625" style="15"/>
  </cols>
  <sheetData>
    <row r="1" spans="1:8" ht="34.5" customHeight="1">
      <c r="A1" s="160" t="s">
        <v>156</v>
      </c>
      <c r="B1" s="161" t="s">
        <v>26</v>
      </c>
      <c r="C1" s="161" t="s">
        <v>14</v>
      </c>
      <c r="D1" s="35"/>
      <c r="E1" s="35"/>
      <c r="F1" s="35"/>
      <c r="G1" s="35"/>
      <c r="H1" s="35"/>
    </row>
    <row r="2" spans="1:8">
      <c r="A2" s="87" t="s">
        <v>111</v>
      </c>
      <c r="B2" s="166">
        <v>3357.0039999999999</v>
      </c>
      <c r="C2" s="162">
        <v>44.036099851770224</v>
      </c>
      <c r="D2" s="163"/>
    </row>
    <row r="3" spans="1:8">
      <c r="A3" s="87" t="s">
        <v>112</v>
      </c>
      <c r="B3" s="166">
        <v>3928.07</v>
      </c>
      <c r="C3" s="162">
        <v>47.548994685937707</v>
      </c>
      <c r="D3" s="163"/>
    </row>
    <row r="4" spans="1:8">
      <c r="A4" s="87" t="s">
        <v>113</v>
      </c>
      <c r="B4" s="166">
        <v>3926.779</v>
      </c>
      <c r="C4" s="162">
        <v>48.038694918157127</v>
      </c>
      <c r="D4" s="163"/>
    </row>
    <row r="5" spans="1:8">
      <c r="A5" s="87" t="s">
        <v>114</v>
      </c>
      <c r="B5" s="166">
        <v>4296.4960000000001</v>
      </c>
      <c r="C5" s="162">
        <v>51.949024254588544</v>
      </c>
      <c r="D5" s="163"/>
    </row>
    <row r="6" spans="1:8">
      <c r="A6" s="87" t="s">
        <v>115</v>
      </c>
      <c r="B6" s="166">
        <v>4411.6329999999998</v>
      </c>
      <c r="C6" s="162">
        <v>49.268868240602174</v>
      </c>
      <c r="D6" s="163"/>
    </row>
    <row r="7" spans="1:8">
      <c r="A7" s="87" t="s">
        <v>116</v>
      </c>
      <c r="B7" s="166">
        <v>4428.1499999999996</v>
      </c>
      <c r="C7" s="162">
        <v>50.553120076717583</v>
      </c>
      <c r="D7" s="163"/>
    </row>
    <row r="8" spans="1:8">
      <c r="A8" s="87" t="s">
        <v>117</v>
      </c>
      <c r="B8" s="166">
        <v>3551.9079999999999</v>
      </c>
      <c r="C8" s="162">
        <v>47.397323156167019</v>
      </c>
      <c r="D8" s="163"/>
    </row>
    <row r="9" spans="1:8">
      <c r="A9" s="87" t="s">
        <v>118</v>
      </c>
      <c r="B9" s="166">
        <v>4216.3019999999997</v>
      </c>
      <c r="C9" s="162">
        <v>51.042964541239421</v>
      </c>
      <c r="D9" s="163"/>
    </row>
    <row r="10" spans="1:8">
      <c r="A10" s="87" t="s">
        <v>34</v>
      </c>
      <c r="B10" s="166">
        <v>4465.3819999999996</v>
      </c>
      <c r="C10" s="162">
        <v>51.735355454629712</v>
      </c>
      <c r="D10" s="163"/>
    </row>
    <row r="11" spans="1:8">
      <c r="A11" s="87" t="s">
        <v>52</v>
      </c>
      <c r="B11" s="166">
        <v>4270.1959999999999</v>
      </c>
      <c r="C11" s="162">
        <v>49.556058443291668</v>
      </c>
      <c r="D11" s="163"/>
    </row>
    <row r="12" spans="1:8">
      <c r="A12" s="87" t="s">
        <v>157</v>
      </c>
      <c r="B12" s="181">
        <v>4104.3789999999999</v>
      </c>
      <c r="C12" s="74">
        <v>49.575183292870001</v>
      </c>
    </row>
    <row r="13" spans="1:8">
      <c r="A13" s="87" t="s">
        <v>162</v>
      </c>
      <c r="B13" s="164">
        <v>4129.4489999999996</v>
      </c>
      <c r="C13" s="74">
        <v>49.877993984853426</v>
      </c>
    </row>
    <row r="14" spans="1:8">
      <c r="A14" s="87"/>
      <c r="B14" s="164"/>
    </row>
    <row r="15" spans="1:8">
      <c r="A15" s="87"/>
      <c r="B15" s="164"/>
    </row>
    <row r="16" spans="1:8">
      <c r="A16" s="87"/>
      <c r="B16" s="164"/>
    </row>
    <row r="17" spans="1:2">
      <c r="A17" s="87"/>
      <c r="B17" s="164"/>
    </row>
    <row r="18" spans="1:2">
      <c r="A18" s="87"/>
      <c r="B18" s="164"/>
    </row>
    <row r="19" spans="1:2">
      <c r="A19" s="87"/>
      <c r="B19" s="164"/>
    </row>
    <row r="20" spans="1:2">
      <c r="A20" s="87"/>
      <c r="B20" s="164"/>
    </row>
    <row r="21" spans="1:2">
      <c r="A21" s="87"/>
      <c r="B21" s="164"/>
    </row>
    <row r="22" spans="1:2">
      <c r="A22" s="87"/>
      <c r="B22" s="164"/>
    </row>
    <row r="23" spans="1:2">
      <c r="A23" s="87"/>
      <c r="B23" s="164"/>
    </row>
    <row r="24" spans="1:2">
      <c r="A24" s="87"/>
      <c r="B24" s="164"/>
    </row>
    <row r="25" spans="1:2">
      <c r="A25" s="87"/>
      <c r="B25" s="164"/>
    </row>
    <row r="26" spans="1:2">
      <c r="A26" s="165"/>
      <c r="B26" s="165"/>
    </row>
    <row r="27" spans="1:2">
      <c r="A27" s="165"/>
      <c r="B27" s="165"/>
    </row>
    <row r="28" spans="1:2">
      <c r="A28" s="165"/>
      <c r="B28" s="165"/>
    </row>
    <row r="29" spans="1:2">
      <c r="A29" s="165"/>
      <c r="B29" s="165"/>
    </row>
    <row r="30" spans="1:2">
      <c r="A30" s="165"/>
      <c r="B30" s="165"/>
    </row>
    <row r="31" spans="1:2">
      <c r="A31" s="165"/>
      <c r="B31" s="165"/>
    </row>
    <row r="32" spans="1:2">
      <c r="A32" s="165"/>
      <c r="B32" s="165"/>
    </row>
    <row r="33" spans="1:2">
      <c r="A33" s="165"/>
      <c r="B33" s="165"/>
    </row>
    <row r="34" spans="1:2">
      <c r="A34" s="165"/>
      <c r="B34" s="165"/>
    </row>
    <row r="35" spans="1:2">
      <c r="A35" s="165"/>
      <c r="B35" s="165"/>
    </row>
    <row r="36" spans="1:2">
      <c r="A36" s="165"/>
      <c r="B36" s="165"/>
    </row>
    <row r="37" spans="1:2">
      <c r="A37" s="165"/>
      <c r="B37" s="165"/>
    </row>
    <row r="38" spans="1:2">
      <c r="A38" s="165"/>
      <c r="B38" s="165"/>
    </row>
    <row r="39" spans="1:2">
      <c r="A39" s="165"/>
      <c r="B39" s="165"/>
    </row>
    <row r="40" spans="1:2">
      <c r="A40" s="165"/>
      <c r="B40" s="165"/>
    </row>
    <row r="41" spans="1:2">
      <c r="A41" s="165"/>
      <c r="B41" s="165"/>
    </row>
    <row r="42" spans="1:2">
      <c r="A42" s="165"/>
      <c r="B42" s="165"/>
    </row>
    <row r="43" spans="1:2">
      <c r="A43" s="165"/>
      <c r="B43" s="165"/>
    </row>
    <row r="44" spans="1:2">
      <c r="A44" s="165"/>
      <c r="B44" s="165"/>
    </row>
    <row r="45" spans="1:2">
      <c r="A45" s="165"/>
      <c r="B45" s="165"/>
    </row>
    <row r="46" spans="1:2">
      <c r="A46" s="165"/>
      <c r="B46" s="165"/>
    </row>
    <row r="47" spans="1:2">
      <c r="A47" s="165"/>
      <c r="B47" s="165"/>
    </row>
    <row r="48" spans="1:2">
      <c r="A48" s="165"/>
      <c r="B48" s="165"/>
    </row>
    <row r="49" spans="1:2">
      <c r="A49" s="165"/>
      <c r="B49" s="165"/>
    </row>
    <row r="50" spans="1:2">
      <c r="A50" s="165"/>
      <c r="B50" s="165"/>
    </row>
    <row r="51" spans="1:2">
      <c r="A51" s="165"/>
      <c r="B51" s="165"/>
    </row>
    <row r="52" spans="1:2">
      <c r="A52" s="165"/>
      <c r="B52" s="165"/>
    </row>
    <row r="53" spans="1:2">
      <c r="A53" s="165"/>
      <c r="B53" s="165"/>
    </row>
    <row r="54" spans="1:2">
      <c r="A54" s="165"/>
      <c r="B54" s="165"/>
    </row>
    <row r="55" spans="1:2">
      <c r="A55" s="165"/>
      <c r="B55" s="165"/>
    </row>
    <row r="56" spans="1:2">
      <c r="A56" s="165"/>
      <c r="B56" s="165"/>
    </row>
    <row r="57" spans="1:2">
      <c r="A57" s="165"/>
      <c r="B57" s="165"/>
    </row>
    <row r="58" spans="1:2">
      <c r="A58" s="165"/>
      <c r="B58" s="165"/>
    </row>
    <row r="59" spans="1:2">
      <c r="A59" s="165"/>
      <c r="B59" s="165"/>
    </row>
    <row r="60" spans="1:2">
      <c r="A60" s="165"/>
      <c r="B60" s="165"/>
    </row>
    <row r="61" spans="1:2">
      <c r="A61" s="165"/>
      <c r="B61" s="165"/>
    </row>
    <row r="62" spans="1:2">
      <c r="A62" s="165"/>
      <c r="B62" s="165"/>
    </row>
    <row r="63" spans="1:2">
      <c r="A63" s="165"/>
      <c r="B63" s="165"/>
    </row>
    <row r="64" spans="1:2">
      <c r="A64" s="165"/>
      <c r="B64" s="165"/>
    </row>
    <row r="65" spans="1:2">
      <c r="A65" s="165"/>
      <c r="B65" s="165"/>
    </row>
    <row r="66" spans="1:2">
      <c r="A66" s="165"/>
      <c r="B66" s="165"/>
    </row>
    <row r="67" spans="1:2">
      <c r="A67" s="165"/>
      <c r="B67" s="165"/>
    </row>
    <row r="68" spans="1:2">
      <c r="A68" s="165"/>
      <c r="B68" s="165"/>
    </row>
    <row r="69" spans="1:2">
      <c r="A69" s="165"/>
      <c r="B69" s="165"/>
    </row>
    <row r="70" spans="1:2">
      <c r="A70" s="165"/>
      <c r="B70" s="165"/>
    </row>
    <row r="71" spans="1:2">
      <c r="A71" s="165"/>
      <c r="B71" s="165"/>
    </row>
    <row r="72" spans="1:2">
      <c r="A72" s="165"/>
      <c r="B72" s="165"/>
    </row>
    <row r="73" spans="1:2">
      <c r="A73" s="165"/>
      <c r="B73" s="165"/>
    </row>
    <row r="74" spans="1:2">
      <c r="A74" s="165"/>
      <c r="B74" s="165"/>
    </row>
    <row r="75" spans="1:2">
      <c r="A75" s="165"/>
      <c r="B75" s="165"/>
    </row>
    <row r="76" spans="1:2">
      <c r="A76" s="165"/>
      <c r="B76" s="165"/>
    </row>
    <row r="77" spans="1:2">
      <c r="A77" s="165"/>
      <c r="B77" s="165"/>
    </row>
    <row r="78" spans="1:2">
      <c r="A78" s="165"/>
      <c r="B78" s="165"/>
    </row>
    <row r="79" spans="1:2">
      <c r="A79" s="165"/>
      <c r="B79" s="165"/>
    </row>
    <row r="80" spans="1:2">
      <c r="A80" s="165"/>
      <c r="B80" s="165"/>
    </row>
    <row r="81" spans="1:2">
      <c r="A81" s="165"/>
      <c r="B81" s="165"/>
    </row>
    <row r="82" spans="1:2">
      <c r="A82" s="165"/>
      <c r="B82" s="165"/>
    </row>
    <row r="83" spans="1:2">
      <c r="A83" s="165"/>
      <c r="B83" s="165"/>
    </row>
    <row r="84" spans="1:2">
      <c r="A84" s="165"/>
      <c r="B84" s="165"/>
    </row>
    <row r="85" spans="1:2">
      <c r="A85" s="165"/>
      <c r="B85" s="165"/>
    </row>
    <row r="86" spans="1:2">
      <c r="A86" s="165"/>
      <c r="B86" s="165"/>
    </row>
    <row r="87" spans="1:2">
      <c r="A87" s="165"/>
      <c r="B87" s="165"/>
    </row>
    <row r="88" spans="1:2">
      <c r="A88" s="165"/>
      <c r="B88" s="16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708C7-548D-4A93-AA4F-276E14862C15}">
  <dimension ref="A1:H13"/>
  <sheetViews>
    <sheetView zoomScaleNormal="100" workbookViewId="0">
      <selection activeCell="P11" sqref="P11"/>
    </sheetView>
  </sheetViews>
  <sheetFormatPr defaultColWidth="9.140625" defaultRowHeight="12.75"/>
  <cols>
    <col min="1" max="1" width="13.140625" style="101" bestFit="1" customWidth="1"/>
    <col min="2" max="2" width="12.28515625" style="101" customWidth="1"/>
    <col min="3" max="4" width="10.28515625" style="101" customWidth="1"/>
    <col min="5" max="5" width="15.28515625" style="101" customWidth="1"/>
    <col min="6" max="16384" width="9.140625" style="101"/>
  </cols>
  <sheetData>
    <row r="1" spans="1:8">
      <c r="A1" s="143"/>
      <c r="B1" s="144" t="s">
        <v>159</v>
      </c>
      <c r="C1" s="144"/>
      <c r="D1" s="144"/>
    </row>
    <row r="2" spans="1:8" ht="25.5">
      <c r="A2" s="143" t="s">
        <v>160</v>
      </c>
      <c r="B2" s="145" t="s">
        <v>161</v>
      </c>
      <c r="C2" s="143">
        <v>2022</v>
      </c>
      <c r="D2" s="143">
        <v>2023</v>
      </c>
      <c r="E2" s="146"/>
      <c r="F2" s="146"/>
    </row>
    <row r="3" spans="1:8">
      <c r="A3" s="147">
        <v>45186</v>
      </c>
      <c r="B3" s="101">
        <v>4</v>
      </c>
      <c r="C3" s="101">
        <v>3</v>
      </c>
      <c r="D3" s="101">
        <v>5</v>
      </c>
      <c r="E3" s="148"/>
      <c r="F3" s="148"/>
      <c r="G3" s="135"/>
      <c r="H3" s="135"/>
    </row>
    <row r="4" spans="1:8">
      <c r="A4" s="147">
        <v>45193</v>
      </c>
      <c r="B4" s="101">
        <v>11</v>
      </c>
      <c r="C4" s="101">
        <v>7</v>
      </c>
      <c r="D4" s="101">
        <v>12</v>
      </c>
      <c r="E4" s="149"/>
      <c r="F4" s="149"/>
      <c r="G4" s="135"/>
      <c r="H4" s="135"/>
    </row>
    <row r="5" spans="1:8">
      <c r="A5" s="147">
        <v>45200</v>
      </c>
      <c r="B5" s="101">
        <v>22</v>
      </c>
      <c r="C5" s="101">
        <v>20</v>
      </c>
      <c r="D5" s="101">
        <v>23</v>
      </c>
      <c r="E5" s="149"/>
      <c r="F5" s="149"/>
      <c r="G5" s="135"/>
      <c r="H5" s="135"/>
    </row>
    <row r="6" spans="1:8">
      <c r="A6" s="147">
        <v>45207</v>
      </c>
      <c r="B6" s="101">
        <v>37</v>
      </c>
      <c r="C6" s="101">
        <v>41</v>
      </c>
      <c r="D6" s="101">
        <v>43</v>
      </c>
      <c r="E6" s="149"/>
      <c r="F6" s="149"/>
      <c r="G6" s="135"/>
      <c r="H6" s="135"/>
    </row>
    <row r="7" spans="1:8">
      <c r="A7" s="147">
        <v>45214</v>
      </c>
      <c r="B7" s="101">
        <v>52</v>
      </c>
      <c r="C7" s="101">
        <v>60</v>
      </c>
      <c r="D7" s="101">
        <v>62</v>
      </c>
      <c r="E7" s="149"/>
      <c r="F7" s="149"/>
      <c r="G7" s="135"/>
      <c r="H7" s="135"/>
    </row>
    <row r="8" spans="1:8">
      <c r="A8" s="147">
        <v>45221</v>
      </c>
      <c r="B8" s="101">
        <v>67</v>
      </c>
      <c r="C8" s="101">
        <v>78</v>
      </c>
      <c r="D8" s="101">
        <v>76</v>
      </c>
      <c r="E8" s="149"/>
      <c r="F8" s="149"/>
      <c r="G8" s="135"/>
      <c r="H8" s="135"/>
    </row>
    <row r="9" spans="1:8">
      <c r="A9" s="147">
        <v>45228</v>
      </c>
      <c r="B9" s="101">
        <v>78</v>
      </c>
      <c r="C9" s="101">
        <v>87</v>
      </c>
      <c r="D9" s="101">
        <v>85</v>
      </c>
      <c r="E9" s="149"/>
      <c r="F9" s="149"/>
      <c r="G9" s="135"/>
      <c r="H9" s="135"/>
    </row>
    <row r="10" spans="1:8">
      <c r="A10" s="147">
        <v>45235</v>
      </c>
      <c r="B10" s="101">
        <v>86</v>
      </c>
      <c r="C10" s="101">
        <v>93</v>
      </c>
      <c r="D10" s="101">
        <v>91</v>
      </c>
      <c r="E10" s="149"/>
      <c r="F10" s="149"/>
      <c r="G10" s="135"/>
      <c r="H10" s="135"/>
    </row>
    <row r="11" spans="1:8">
      <c r="A11" s="147"/>
      <c r="E11" s="149"/>
      <c r="F11" s="149"/>
      <c r="G11" s="135"/>
      <c r="H11" s="135"/>
    </row>
    <row r="12" spans="1:8">
      <c r="A12" s="147"/>
      <c r="B12" s="149"/>
      <c r="D12" s="149"/>
      <c r="E12" s="149"/>
      <c r="F12" s="149"/>
      <c r="G12" s="135"/>
      <c r="H12" s="135"/>
    </row>
    <row r="13" spans="1:8">
      <c r="A13" s="150"/>
      <c r="B13" s="149"/>
      <c r="C13" s="151"/>
      <c r="D13" s="151"/>
      <c r="E13" s="151"/>
      <c r="F13" s="151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BBB43-873E-46D3-987E-ADBB9C51E018}">
  <dimension ref="A1:Q21"/>
  <sheetViews>
    <sheetView workbookViewId="0">
      <selection activeCell="F21" sqref="F21"/>
    </sheetView>
  </sheetViews>
  <sheetFormatPr defaultColWidth="8.85546875" defaultRowHeight="15"/>
  <cols>
    <col min="1" max="15" width="8.85546875" style="169"/>
    <col min="16" max="16" width="11.5703125" style="169" bestFit="1" customWidth="1"/>
    <col min="17" max="17" width="10.7109375" style="169" bestFit="1" customWidth="1"/>
    <col min="18" max="16384" width="8.85546875" style="169"/>
  </cols>
  <sheetData>
    <row r="1" spans="1:17">
      <c r="A1" s="171" t="s">
        <v>173</v>
      </c>
      <c r="B1" s="171" t="s">
        <v>116</v>
      </c>
      <c r="C1" s="171" t="s">
        <v>117</v>
      </c>
      <c r="D1" s="171" t="s">
        <v>118</v>
      </c>
      <c r="E1" s="171" t="s">
        <v>34</v>
      </c>
      <c r="F1" s="171" t="s">
        <v>52</v>
      </c>
    </row>
    <row r="2" spans="1:17">
      <c r="A2" s="169" t="s">
        <v>163</v>
      </c>
      <c r="B2" s="170">
        <v>698.88</v>
      </c>
      <c r="C2" s="170">
        <v>557.52</v>
      </c>
      <c r="D2" s="170">
        <v>793.16666666666663</v>
      </c>
      <c r="E2" s="170">
        <v>832.42700000000002</v>
      </c>
      <c r="F2" s="170">
        <v>906.40899999999999</v>
      </c>
    </row>
    <row r="3" spans="1:17">
      <c r="A3" s="169" t="s">
        <v>164</v>
      </c>
      <c r="B3" s="170">
        <v>703.79</v>
      </c>
      <c r="C3" s="170">
        <v>526.53</v>
      </c>
      <c r="D3" s="170">
        <v>753.16666666666663</v>
      </c>
      <c r="E3" s="170">
        <v>818.01271279999992</v>
      </c>
      <c r="F3" s="170">
        <v>943.34199999999998</v>
      </c>
    </row>
    <row r="4" spans="1:17">
      <c r="A4" s="169" t="s">
        <v>165</v>
      </c>
      <c r="B4" s="170">
        <v>767.76</v>
      </c>
      <c r="C4" s="170">
        <v>541.04999999999995</v>
      </c>
      <c r="D4" s="170">
        <v>814.16666666666663</v>
      </c>
      <c r="E4" s="170">
        <v>938.34100000000001</v>
      </c>
      <c r="F4" s="170">
        <v>885.65899999999999</v>
      </c>
    </row>
    <row r="5" spans="1:17">
      <c r="A5" s="169" t="s">
        <v>166</v>
      </c>
      <c r="B5" s="170">
        <v>622.80999999999995</v>
      </c>
      <c r="C5" s="170">
        <v>521</v>
      </c>
      <c r="D5" s="170">
        <v>682.77</v>
      </c>
      <c r="E5" s="170">
        <v>791.48900000000003</v>
      </c>
      <c r="F5" s="170">
        <v>940.87400000000002</v>
      </c>
    </row>
    <row r="6" spans="1:17">
      <c r="A6" s="169" t="s">
        <v>167</v>
      </c>
      <c r="B6" s="170">
        <v>559.57000000000005</v>
      </c>
      <c r="C6" s="170">
        <v>574.78</v>
      </c>
      <c r="D6" s="170">
        <v>552.50900000000001</v>
      </c>
      <c r="E6" s="170">
        <v>758.13099999999997</v>
      </c>
      <c r="F6" s="170">
        <v>909.98699999999997</v>
      </c>
    </row>
    <row r="7" spans="1:17">
      <c r="A7" s="169" t="s">
        <v>168</v>
      </c>
      <c r="B7" s="170">
        <v>617.01</v>
      </c>
      <c r="C7" s="170">
        <v>656.02</v>
      </c>
      <c r="D7" s="170">
        <v>748.81299999999999</v>
      </c>
      <c r="E7" s="170">
        <v>919.11900000000003</v>
      </c>
      <c r="F7" s="170">
        <v>952.70299999999997</v>
      </c>
    </row>
    <row r="8" spans="1:17">
      <c r="A8" s="169" t="s">
        <v>169</v>
      </c>
      <c r="B8" s="170">
        <v>631.84</v>
      </c>
      <c r="C8" s="170">
        <v>671.81</v>
      </c>
      <c r="D8" s="170">
        <v>699.93299999999999</v>
      </c>
      <c r="E8" s="170">
        <v>842.00099999999998</v>
      </c>
      <c r="F8" s="170">
        <v>926.59799999999996</v>
      </c>
    </row>
    <row r="9" spans="1:17">
      <c r="A9" s="169" t="s">
        <v>47</v>
      </c>
      <c r="B9" s="170">
        <v>659.05</v>
      </c>
      <c r="C9" s="170">
        <v>805.35</v>
      </c>
      <c r="D9" s="170">
        <v>785.91399999999999</v>
      </c>
      <c r="E9" s="170">
        <v>855.74599999999998</v>
      </c>
      <c r="F9" s="170">
        <v>1140.8710000000001</v>
      </c>
    </row>
    <row r="10" spans="1:17">
      <c r="A10" s="169" t="s">
        <v>170</v>
      </c>
      <c r="B10" s="170">
        <v>594.15</v>
      </c>
      <c r="C10" s="170">
        <v>747.07</v>
      </c>
      <c r="D10" s="170">
        <v>679.98199999999997</v>
      </c>
      <c r="E10" s="170">
        <v>809.79899999999998</v>
      </c>
      <c r="F10" s="170">
        <v>1206.92</v>
      </c>
    </row>
    <row r="11" spans="1:17">
      <c r="A11" s="169" t="s">
        <v>50</v>
      </c>
      <c r="B11" s="170">
        <v>708.5</v>
      </c>
      <c r="C11" s="170">
        <v>774.83</v>
      </c>
      <c r="D11" s="170">
        <v>807.96799999999996</v>
      </c>
      <c r="E11" s="170">
        <v>956.48800000000006</v>
      </c>
      <c r="F11" s="170">
        <v>1272.7660000000001</v>
      </c>
    </row>
    <row r="12" spans="1:17">
      <c r="A12" s="169" t="s">
        <v>171</v>
      </c>
      <c r="B12" s="170">
        <v>701.14</v>
      </c>
      <c r="C12" s="170">
        <v>745.33</v>
      </c>
      <c r="D12" s="170">
        <v>822.94799999999998</v>
      </c>
      <c r="E12" s="170">
        <v>924.71799999999996</v>
      </c>
      <c r="F12" s="170">
        <v>1197.1020000000001</v>
      </c>
    </row>
    <row r="13" spans="1:17">
      <c r="A13" s="169" t="s">
        <v>172</v>
      </c>
      <c r="B13" s="170">
        <v>598.79999999999995</v>
      </c>
      <c r="C13" s="170">
        <v>736.53</v>
      </c>
      <c r="D13" s="170">
        <v>779.125</v>
      </c>
      <c r="E13" s="170">
        <v>932.48199999999997</v>
      </c>
      <c r="F13" s="193">
        <v>1116.7689999999984</v>
      </c>
    </row>
    <row r="16" spans="1:17">
      <c r="P16" s="167"/>
      <c r="Q16" s="168"/>
    </row>
    <row r="17" spans="16:17">
      <c r="P17" s="167"/>
      <c r="Q17" s="168"/>
    </row>
    <row r="18" spans="16:17">
      <c r="P18" s="167"/>
      <c r="Q18" s="168"/>
    </row>
    <row r="19" spans="16:17">
      <c r="P19" s="167"/>
      <c r="Q19" s="168"/>
    </row>
    <row r="20" spans="16:17">
      <c r="P20" s="167"/>
      <c r="Q20" s="168"/>
    </row>
    <row r="21" spans="16:17">
      <c r="P21" s="16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DEA6-C7FA-404E-BA91-B9CD076A28C6}">
  <dimension ref="A1:J31"/>
  <sheetViews>
    <sheetView zoomScale="106" zoomScaleNormal="106" workbookViewId="0">
      <selection activeCell="D12" sqref="D12"/>
    </sheetView>
  </sheetViews>
  <sheetFormatPr defaultRowHeight="12.75"/>
  <cols>
    <col min="1" max="1" width="16.42578125" customWidth="1"/>
  </cols>
  <sheetData>
    <row r="1" spans="1:4" ht="25.5">
      <c r="A1" s="107" t="s">
        <v>156</v>
      </c>
      <c r="B1" s="107" t="s">
        <v>174</v>
      </c>
      <c r="C1" s="107" t="s">
        <v>175</v>
      </c>
      <c r="D1" s="107" t="s">
        <v>27</v>
      </c>
    </row>
    <row r="2" spans="1:4">
      <c r="A2" s="108" t="s">
        <v>114</v>
      </c>
      <c r="B2" s="194">
        <v>4.55</v>
      </c>
      <c r="C2" s="194">
        <v>1.29</v>
      </c>
      <c r="D2" s="194">
        <v>4.41</v>
      </c>
    </row>
    <row r="3" spans="1:4">
      <c r="A3" s="108" t="s">
        <v>115</v>
      </c>
      <c r="B3" s="194">
        <v>4.22</v>
      </c>
      <c r="C3" s="194">
        <v>1.38</v>
      </c>
      <c r="D3" s="194">
        <v>4.08</v>
      </c>
    </row>
    <row r="4" spans="1:4">
      <c r="A4" s="105" t="s">
        <v>116</v>
      </c>
      <c r="B4" s="194">
        <v>4.18</v>
      </c>
      <c r="C4" s="194">
        <v>1.1000000000000001</v>
      </c>
      <c r="D4" s="194">
        <v>3.91</v>
      </c>
    </row>
    <row r="5" spans="1:4">
      <c r="A5" s="105" t="s">
        <v>117</v>
      </c>
      <c r="B5" s="194">
        <v>4.3099999999999996</v>
      </c>
      <c r="C5" s="194">
        <v>1.32</v>
      </c>
      <c r="D5" s="194">
        <v>4.03</v>
      </c>
    </row>
    <row r="6" spans="1:4">
      <c r="A6" s="105" t="s">
        <v>118</v>
      </c>
      <c r="B6" s="194">
        <v>4.4400000000000004</v>
      </c>
      <c r="C6" s="194">
        <v>1.1499999999999999</v>
      </c>
      <c r="D6" s="194">
        <v>4.12</v>
      </c>
    </row>
    <row r="7" spans="1:4">
      <c r="A7" s="105" t="s">
        <v>34</v>
      </c>
      <c r="B7" s="194">
        <v>4.3099999999999996</v>
      </c>
      <c r="C7" s="194">
        <v>1.34</v>
      </c>
      <c r="D7" s="194">
        <v>4.42</v>
      </c>
    </row>
    <row r="8" spans="1:4">
      <c r="A8" s="105" t="s">
        <v>52</v>
      </c>
      <c r="B8" s="194">
        <v>4.95</v>
      </c>
      <c r="C8" s="194">
        <v>2.97</v>
      </c>
      <c r="D8" s="194">
        <v>6.27</v>
      </c>
    </row>
    <row r="9" spans="1:4">
      <c r="A9" s="105" t="s">
        <v>176</v>
      </c>
      <c r="B9" s="194">
        <v>4.9000000000000004</v>
      </c>
      <c r="C9" s="194">
        <v>3.4</v>
      </c>
      <c r="D9" s="194">
        <v>6.61</v>
      </c>
    </row>
    <row r="11" spans="1:4">
      <c r="B11" s="195"/>
      <c r="C11" s="195"/>
      <c r="D11" s="195"/>
    </row>
    <row r="12" spans="1:4">
      <c r="B12" s="195"/>
      <c r="C12" s="195"/>
      <c r="D12" s="195"/>
    </row>
    <row r="13" spans="1:4">
      <c r="B13" s="195"/>
      <c r="C13" s="195"/>
      <c r="D13" s="195"/>
    </row>
    <row r="14" spans="1:4">
      <c r="B14" s="195"/>
      <c r="C14" s="195"/>
      <c r="D14" s="195"/>
    </row>
    <row r="15" spans="1:4">
      <c r="B15" s="195"/>
      <c r="C15" s="195"/>
      <c r="D15" s="195"/>
    </row>
    <row r="16" spans="1:4">
      <c r="B16" s="195"/>
      <c r="C16" s="195"/>
      <c r="D16" s="195"/>
    </row>
    <row r="17" spans="2:10">
      <c r="B17" s="195"/>
      <c r="C17" s="195"/>
      <c r="D17" s="195"/>
    </row>
    <row r="18" spans="2:10">
      <c r="B18" s="195"/>
      <c r="C18" s="195"/>
      <c r="D18" s="195"/>
    </row>
    <row r="19" spans="2:10">
      <c r="B19" s="76"/>
      <c r="C19" s="76"/>
      <c r="D19" s="76"/>
    </row>
    <row r="20" spans="2:10">
      <c r="B20" s="76"/>
    </row>
    <row r="21" spans="2:10">
      <c r="B21" s="76"/>
    </row>
    <row r="31" spans="2:10">
      <c r="J31" s="172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89E26-8FF5-4ED4-A77A-92F8D86C32D2}">
  <dimension ref="A1:F40"/>
  <sheetViews>
    <sheetView zoomScaleNormal="100" workbookViewId="0">
      <selection activeCell="J25" sqref="J25"/>
    </sheetView>
  </sheetViews>
  <sheetFormatPr defaultColWidth="9.140625" defaultRowHeight="12.75"/>
  <cols>
    <col min="1" max="1" width="21.5703125" style="154" customWidth="1"/>
    <col min="2" max="2" width="14.42578125" style="154" customWidth="1"/>
    <col min="3" max="3" width="12" style="154" customWidth="1"/>
    <col min="4" max="4" width="13.7109375" style="154" customWidth="1"/>
    <col min="5" max="16384" width="9.140625" style="154"/>
  </cols>
  <sheetData>
    <row r="1" spans="1:6" ht="25.5">
      <c r="A1" s="107" t="s">
        <v>155</v>
      </c>
      <c r="B1" s="107" t="s">
        <v>21</v>
      </c>
      <c r="C1" s="107" t="s">
        <v>27</v>
      </c>
      <c r="D1" s="107" t="s">
        <v>26</v>
      </c>
    </row>
    <row r="2" spans="1:6">
      <c r="A2" s="105" t="s">
        <v>111</v>
      </c>
      <c r="B2" s="157">
        <v>3.3</v>
      </c>
      <c r="C2" s="157">
        <v>2.048</v>
      </c>
      <c r="D2" s="157">
        <v>1.5169999999999999</v>
      </c>
      <c r="E2" s="173"/>
      <c r="F2" s="173"/>
    </row>
    <row r="3" spans="1:6">
      <c r="A3" s="105" t="s">
        <v>112</v>
      </c>
      <c r="B3" s="158">
        <v>3.6</v>
      </c>
      <c r="C3" s="158">
        <v>1.986</v>
      </c>
      <c r="D3" s="158">
        <v>2.3620000000000001</v>
      </c>
      <c r="E3"/>
      <c r="F3" s="173"/>
    </row>
    <row r="4" spans="1:6">
      <c r="A4" s="105" t="s">
        <v>113</v>
      </c>
      <c r="B4" s="159">
        <v>4</v>
      </c>
      <c r="C4" s="159">
        <v>2.3359999999999999</v>
      </c>
      <c r="D4" s="159">
        <v>2.7069999999999999</v>
      </c>
      <c r="E4"/>
      <c r="F4" s="173"/>
    </row>
    <row r="5" spans="1:6">
      <c r="A5" s="105" t="s">
        <v>114</v>
      </c>
      <c r="B5" s="159">
        <v>4.4000000000000004</v>
      </c>
      <c r="C5" s="159">
        <v>2.2210000000000001</v>
      </c>
      <c r="D5" s="159">
        <v>3.1339999999999999</v>
      </c>
      <c r="E5"/>
      <c r="F5" s="173"/>
    </row>
    <row r="6" spans="1:6">
      <c r="A6" s="105" t="s">
        <v>115</v>
      </c>
      <c r="B6" s="159">
        <v>4.5999999999999996</v>
      </c>
      <c r="C6" s="159">
        <v>2.2370000000000001</v>
      </c>
      <c r="D6" s="159">
        <v>3.621</v>
      </c>
      <c r="E6"/>
      <c r="F6" s="173"/>
    </row>
    <row r="7" spans="1:6">
      <c r="A7" s="105" t="s">
        <v>116</v>
      </c>
      <c r="B7" s="159">
        <v>4.6500000000000004</v>
      </c>
      <c r="C7" s="159">
        <v>2.1619999999999999</v>
      </c>
      <c r="D7" s="159">
        <v>4.0270000000000001</v>
      </c>
      <c r="E7"/>
      <c r="F7" s="173"/>
    </row>
    <row r="8" spans="1:6">
      <c r="A8" s="105" t="s">
        <v>117</v>
      </c>
      <c r="B8" s="159">
        <v>4.6500000000000004</v>
      </c>
      <c r="C8" s="159">
        <v>2.0470000000000002</v>
      </c>
      <c r="D8" s="159">
        <v>4.359</v>
      </c>
      <c r="E8"/>
      <c r="F8" s="173"/>
    </row>
    <row r="9" spans="1:6">
      <c r="A9" s="105" t="s">
        <v>118</v>
      </c>
      <c r="B9" s="159">
        <v>4.5</v>
      </c>
      <c r="C9" s="159">
        <v>2.0419999999999998</v>
      </c>
      <c r="D9" s="159">
        <v>4.3070000000000004</v>
      </c>
      <c r="E9"/>
      <c r="F9" s="173"/>
    </row>
    <row r="10" spans="1:6">
      <c r="A10" s="105" t="s">
        <v>34</v>
      </c>
      <c r="B10" s="159">
        <v>4.8</v>
      </c>
      <c r="C10" s="159">
        <v>1.85</v>
      </c>
      <c r="D10" s="159">
        <v>4.76</v>
      </c>
      <c r="E10"/>
      <c r="F10" s="173"/>
    </row>
    <row r="11" spans="1:6">
      <c r="A11" s="105" t="s">
        <v>52</v>
      </c>
      <c r="B11" s="159">
        <v>5.4</v>
      </c>
      <c r="C11" s="159">
        <v>1.5</v>
      </c>
      <c r="D11" s="159">
        <v>5.9960000000000004</v>
      </c>
      <c r="E11"/>
      <c r="F11" s="173"/>
    </row>
    <row r="12" spans="1:6">
      <c r="A12" s="105" t="s">
        <v>157</v>
      </c>
      <c r="B12" s="159">
        <v>5.75</v>
      </c>
      <c r="C12" s="159">
        <v>1.4</v>
      </c>
      <c r="D12" s="159">
        <v>6</v>
      </c>
      <c r="E12"/>
      <c r="F12" s="173"/>
    </row>
    <row r="13" spans="1:6">
      <c r="A13" s="105" t="s">
        <v>162</v>
      </c>
      <c r="B13" s="159">
        <v>5.85</v>
      </c>
      <c r="C13" s="159">
        <v>1.2</v>
      </c>
      <c r="D13" s="159">
        <v>6.2</v>
      </c>
      <c r="F13" s="173"/>
    </row>
    <row r="14" spans="1:6">
      <c r="A14" s="105"/>
      <c r="B14" s="121"/>
    </row>
    <row r="15" spans="1:6">
      <c r="A15" s="105"/>
      <c r="B15" s="155"/>
      <c r="C15" s="155"/>
      <c r="D15" s="155"/>
    </row>
    <row r="16" spans="1:6">
      <c r="A16" s="105"/>
      <c r="B16" s="155"/>
      <c r="C16" s="155"/>
      <c r="D16" s="155"/>
    </row>
    <row r="17" spans="1:4">
      <c r="A17" s="105"/>
      <c r="B17" s="155"/>
      <c r="C17" s="155"/>
      <c r="D17" s="155"/>
    </row>
    <row r="18" spans="1:4">
      <c r="A18" s="105"/>
      <c r="B18" s="155"/>
      <c r="C18" s="155"/>
      <c r="D18" s="155"/>
    </row>
    <row r="19" spans="1:4">
      <c r="A19" s="105"/>
      <c r="B19" s="155"/>
      <c r="C19" s="155"/>
      <c r="D19" s="155"/>
    </row>
    <row r="20" spans="1:4">
      <c r="A20" s="105"/>
      <c r="B20" s="155"/>
      <c r="C20" s="155"/>
      <c r="D20" s="155"/>
    </row>
    <row r="21" spans="1:4">
      <c r="A21" s="105"/>
      <c r="B21" s="155"/>
      <c r="C21" s="155"/>
      <c r="D21" s="155"/>
    </row>
    <row r="22" spans="1:4">
      <c r="A22" s="105"/>
      <c r="B22" s="155"/>
      <c r="C22" s="155"/>
      <c r="D22" s="155"/>
    </row>
    <row r="23" spans="1:4">
      <c r="A23" s="105"/>
      <c r="B23" s="155"/>
      <c r="C23" s="155"/>
      <c r="D23" s="155"/>
    </row>
    <row r="24" spans="1:4">
      <c r="A24" s="105"/>
      <c r="B24" s="155"/>
      <c r="C24" s="155"/>
      <c r="D24" s="155"/>
    </row>
    <row r="25" spans="1:4">
      <c r="A25" s="105"/>
      <c r="B25" s="155"/>
      <c r="C25" s="155"/>
      <c r="D25" s="155"/>
    </row>
    <row r="26" spans="1:4">
      <c r="B26" s="155"/>
      <c r="C26" s="155"/>
      <c r="D26" s="155"/>
    </row>
    <row r="27" spans="1:4">
      <c r="B27" s="155"/>
      <c r="C27" s="155"/>
      <c r="D27" s="155"/>
    </row>
    <row r="28" spans="1:4">
      <c r="B28" s="155"/>
      <c r="C28" s="155"/>
      <c r="D28" s="155"/>
    </row>
    <row r="29" spans="1:4">
      <c r="B29" s="155"/>
      <c r="C29" s="155"/>
      <c r="D29" s="155"/>
    </row>
    <row r="30" spans="1:4">
      <c r="B30" s="155"/>
      <c r="C30" s="155"/>
      <c r="D30" s="155"/>
    </row>
    <row r="31" spans="1:4">
      <c r="B31" s="155"/>
      <c r="C31" s="155"/>
      <c r="D31" s="155"/>
    </row>
    <row r="32" spans="1:4">
      <c r="B32" s="155"/>
      <c r="C32" s="155"/>
      <c r="D32" s="155"/>
    </row>
    <row r="33" spans="2:4">
      <c r="B33" s="155"/>
      <c r="C33" s="155"/>
      <c r="D33" s="155"/>
    </row>
    <row r="34" spans="2:4">
      <c r="B34" s="155"/>
      <c r="C34" s="155"/>
      <c r="D34" s="155"/>
    </row>
    <row r="35" spans="2:4">
      <c r="B35" s="155"/>
      <c r="C35" s="155"/>
      <c r="D35" s="155"/>
    </row>
    <row r="36" spans="2:4">
      <c r="B36" s="155"/>
      <c r="C36" s="155"/>
      <c r="D36" s="155"/>
    </row>
    <row r="37" spans="2:4">
      <c r="B37" s="155"/>
      <c r="C37" s="155"/>
      <c r="D37" s="155"/>
    </row>
    <row r="38" spans="2:4">
      <c r="B38" s="155"/>
      <c r="C38" s="155"/>
      <c r="D38" s="155"/>
    </row>
    <row r="39" spans="2:4">
      <c r="B39" s="155"/>
      <c r="C39" s="155"/>
      <c r="D39" s="155"/>
    </row>
    <row r="40" spans="2:4">
      <c r="B40" s="155"/>
      <c r="C40" s="155"/>
      <c r="D40" s="155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6F1C9-2AA7-4ED5-913D-4C33C605A0B5}">
  <dimension ref="A1:H88"/>
  <sheetViews>
    <sheetView zoomScale="90" zoomScaleNormal="90" workbookViewId="0"/>
  </sheetViews>
  <sheetFormatPr defaultColWidth="9.140625" defaultRowHeight="14.25"/>
  <cols>
    <col min="1" max="1" width="15.42578125" style="15" customWidth="1"/>
    <col min="2" max="2" width="12.140625" style="15" bestFit="1" customWidth="1"/>
    <col min="3" max="3" width="31" style="15" customWidth="1"/>
    <col min="4" max="4" width="39.28515625" style="15" customWidth="1"/>
    <col min="5" max="5" width="22.85546875" style="15" customWidth="1"/>
    <col min="6" max="8" width="7.85546875" style="15" customWidth="1"/>
    <col min="9" max="16384" width="9.140625" style="15"/>
  </cols>
  <sheetData>
    <row r="1" spans="1:8" ht="34.5" customHeight="1">
      <c r="A1" s="160" t="s">
        <v>156</v>
      </c>
      <c r="B1" s="161" t="s">
        <v>21</v>
      </c>
      <c r="C1" s="176" t="s">
        <v>179</v>
      </c>
      <c r="D1" s="176" t="s">
        <v>178</v>
      </c>
      <c r="E1" s="176" t="s">
        <v>177</v>
      </c>
      <c r="G1" s="35"/>
      <c r="H1" s="35"/>
    </row>
    <row r="2" spans="1:8">
      <c r="A2" s="87" t="s">
        <v>111</v>
      </c>
      <c r="B2" s="174">
        <v>68.900000000000006</v>
      </c>
      <c r="C2" s="175">
        <v>54.569000000000003</v>
      </c>
      <c r="D2" s="174">
        <v>52.56</v>
      </c>
      <c r="E2" s="177">
        <v>2.0169999999999999</v>
      </c>
    </row>
    <row r="3" spans="1:8">
      <c r="A3" s="87" t="s">
        <v>112</v>
      </c>
      <c r="B3" s="174">
        <v>74.5</v>
      </c>
      <c r="C3" s="175">
        <v>59.003999999999998</v>
      </c>
      <c r="D3" s="174">
        <v>57.4</v>
      </c>
      <c r="E3" s="177">
        <v>1.595</v>
      </c>
    </row>
    <row r="4" spans="1:8">
      <c r="A4" s="87" t="s">
        <v>113</v>
      </c>
      <c r="B4" s="174">
        <v>81.5</v>
      </c>
      <c r="C4" s="175">
        <v>64.548000000000002</v>
      </c>
      <c r="D4" s="174">
        <v>62.62</v>
      </c>
      <c r="E4" s="177">
        <v>1.909</v>
      </c>
    </row>
    <row r="5" spans="1:8">
      <c r="A5" s="87" t="s">
        <v>114</v>
      </c>
      <c r="B5" s="174">
        <v>88</v>
      </c>
      <c r="C5" s="175">
        <v>69.695999999999998</v>
      </c>
      <c r="D5" s="174">
        <v>68.575000000000003</v>
      </c>
      <c r="E5" s="177">
        <v>1.111</v>
      </c>
    </row>
    <row r="6" spans="1:8">
      <c r="A6" s="87" t="s">
        <v>115</v>
      </c>
      <c r="B6" s="174">
        <v>90</v>
      </c>
      <c r="C6" s="175">
        <v>71.28</v>
      </c>
      <c r="D6" s="174">
        <v>69.900000000000006</v>
      </c>
      <c r="E6" s="177">
        <v>1.198</v>
      </c>
    </row>
    <row r="7" spans="1:8">
      <c r="A7" s="87" t="s">
        <v>116</v>
      </c>
      <c r="B7" s="174">
        <v>85</v>
      </c>
      <c r="C7" s="175">
        <v>67.319999999999993</v>
      </c>
      <c r="D7" s="174">
        <v>66.685000000000002</v>
      </c>
      <c r="E7" s="177">
        <v>0.93200000000000005</v>
      </c>
    </row>
    <row r="8" spans="1:8">
      <c r="A8" s="87" t="s">
        <v>117</v>
      </c>
      <c r="B8" s="174">
        <v>91.5</v>
      </c>
      <c r="C8" s="175">
        <v>72.468000000000004</v>
      </c>
      <c r="D8" s="174">
        <v>71.144999999999996</v>
      </c>
      <c r="E8" s="177">
        <v>1.012</v>
      </c>
    </row>
    <row r="9" spans="1:8">
      <c r="A9" s="87" t="s">
        <v>118</v>
      </c>
      <c r="B9" s="174">
        <v>93</v>
      </c>
      <c r="C9" s="175">
        <v>73.656000000000006</v>
      </c>
      <c r="D9" s="174">
        <v>72.875</v>
      </c>
      <c r="E9" s="177">
        <v>1.052</v>
      </c>
    </row>
    <row r="10" spans="1:8">
      <c r="A10" s="87" t="s">
        <v>34</v>
      </c>
      <c r="B10" s="174">
        <v>87.9</v>
      </c>
      <c r="C10" s="175">
        <v>69.617000000000004</v>
      </c>
      <c r="D10" s="174">
        <v>69.63</v>
      </c>
      <c r="E10" s="177">
        <v>0.48399999999999999</v>
      </c>
    </row>
    <row r="11" spans="1:8">
      <c r="A11" s="87" t="s">
        <v>52</v>
      </c>
      <c r="B11" s="174">
        <v>95</v>
      </c>
      <c r="C11" s="175">
        <v>75.239999999999995</v>
      </c>
      <c r="D11" s="174">
        <v>73.95</v>
      </c>
      <c r="E11" s="177">
        <v>0.79500000000000004</v>
      </c>
    </row>
    <row r="12" spans="1:8">
      <c r="A12" s="87" t="s">
        <v>157</v>
      </c>
      <c r="B12" s="178">
        <v>97</v>
      </c>
      <c r="C12" s="175">
        <v>76.823999999999998</v>
      </c>
      <c r="D12" s="174">
        <v>75.95</v>
      </c>
      <c r="E12" s="174">
        <v>1</v>
      </c>
    </row>
    <row r="13" spans="1:8">
      <c r="A13" s="87" t="s">
        <v>162</v>
      </c>
      <c r="B13" s="179">
        <v>98</v>
      </c>
      <c r="C13" s="175">
        <v>77.616</v>
      </c>
      <c r="D13" s="174">
        <v>76.75</v>
      </c>
      <c r="E13" s="174">
        <v>1</v>
      </c>
    </row>
    <row r="14" spans="1:8">
      <c r="A14" s="87"/>
      <c r="B14" s="164"/>
    </row>
    <row r="15" spans="1:8">
      <c r="A15" s="87"/>
      <c r="B15" s="164"/>
    </row>
    <row r="16" spans="1:8">
      <c r="A16" s="87"/>
      <c r="B16" s="164"/>
    </row>
    <row r="17" spans="1:2">
      <c r="A17" s="87"/>
      <c r="B17" s="164"/>
    </row>
    <row r="18" spans="1:2">
      <c r="A18" s="87"/>
      <c r="B18" s="164"/>
    </row>
    <row r="19" spans="1:2">
      <c r="A19" s="87"/>
      <c r="B19" s="164"/>
    </row>
    <row r="20" spans="1:2">
      <c r="A20" s="87"/>
      <c r="B20" s="164"/>
    </row>
    <row r="21" spans="1:2">
      <c r="A21" s="87"/>
      <c r="B21" s="164"/>
    </row>
    <row r="22" spans="1:2">
      <c r="A22" s="87"/>
      <c r="B22" s="164"/>
    </row>
    <row r="23" spans="1:2">
      <c r="A23" s="87"/>
      <c r="B23" s="164"/>
    </row>
    <row r="24" spans="1:2">
      <c r="A24" s="87"/>
      <c r="B24" s="164"/>
    </row>
    <row r="25" spans="1:2">
      <c r="A25" s="87"/>
      <c r="B25" s="164"/>
    </row>
    <row r="26" spans="1:2">
      <c r="A26" s="165"/>
      <c r="B26" s="165"/>
    </row>
    <row r="27" spans="1:2">
      <c r="A27" s="165"/>
      <c r="B27" s="165"/>
    </row>
    <row r="28" spans="1:2">
      <c r="A28" s="165"/>
      <c r="B28" s="165"/>
    </row>
    <row r="29" spans="1:2">
      <c r="A29" s="165"/>
      <c r="B29" s="165"/>
    </row>
    <row r="30" spans="1:2">
      <c r="A30" s="165"/>
      <c r="B30" s="165"/>
    </row>
    <row r="31" spans="1:2">
      <c r="A31" s="165"/>
      <c r="B31" s="165"/>
    </row>
    <row r="32" spans="1:2">
      <c r="A32" s="165"/>
      <c r="B32" s="165"/>
    </row>
    <row r="33" spans="1:2">
      <c r="A33" s="165"/>
      <c r="B33" s="165"/>
    </row>
    <row r="34" spans="1:2">
      <c r="A34" s="165"/>
      <c r="B34" s="165"/>
    </row>
    <row r="35" spans="1:2">
      <c r="A35" s="165"/>
      <c r="B35" s="165"/>
    </row>
    <row r="36" spans="1:2">
      <c r="A36" s="165"/>
      <c r="B36" s="165"/>
    </row>
    <row r="37" spans="1:2">
      <c r="A37" s="165"/>
      <c r="B37" s="165"/>
    </row>
    <row r="38" spans="1:2">
      <c r="A38" s="165"/>
      <c r="B38" s="165"/>
    </row>
    <row r="39" spans="1:2">
      <c r="A39" s="165"/>
      <c r="B39" s="165"/>
    </row>
    <row r="40" spans="1:2">
      <c r="A40" s="165"/>
      <c r="B40" s="165"/>
    </row>
    <row r="41" spans="1:2">
      <c r="A41" s="165"/>
      <c r="B41" s="165"/>
    </row>
    <row r="42" spans="1:2">
      <c r="A42" s="165"/>
      <c r="B42" s="165"/>
    </row>
    <row r="43" spans="1:2">
      <c r="A43" s="165"/>
      <c r="B43" s="165"/>
    </row>
    <row r="44" spans="1:2">
      <c r="A44" s="165"/>
      <c r="B44" s="165"/>
    </row>
    <row r="45" spans="1:2">
      <c r="A45" s="165"/>
      <c r="B45" s="165"/>
    </row>
    <row r="46" spans="1:2">
      <c r="A46" s="165"/>
      <c r="B46" s="165"/>
    </row>
    <row r="47" spans="1:2">
      <c r="A47" s="165"/>
      <c r="B47" s="165"/>
    </row>
    <row r="48" spans="1:2">
      <c r="A48" s="165"/>
      <c r="B48" s="165"/>
    </row>
    <row r="49" spans="1:2">
      <c r="A49" s="165"/>
      <c r="B49" s="165"/>
    </row>
    <row r="50" spans="1:2">
      <c r="A50" s="165"/>
      <c r="B50" s="165"/>
    </row>
    <row r="51" spans="1:2">
      <c r="A51" s="165"/>
      <c r="B51" s="165"/>
    </row>
    <row r="52" spans="1:2">
      <c r="A52" s="165"/>
      <c r="B52" s="165"/>
    </row>
    <row r="53" spans="1:2">
      <c r="A53" s="165"/>
      <c r="B53" s="165"/>
    </row>
    <row r="54" spans="1:2">
      <c r="A54" s="165"/>
      <c r="B54" s="165"/>
    </row>
    <row r="55" spans="1:2">
      <c r="A55" s="165"/>
      <c r="B55" s="165"/>
    </row>
    <row r="56" spans="1:2">
      <c r="A56" s="165"/>
      <c r="B56" s="165"/>
    </row>
    <row r="57" spans="1:2">
      <c r="A57" s="165"/>
      <c r="B57" s="165"/>
    </row>
    <row r="58" spans="1:2">
      <c r="A58" s="165"/>
      <c r="B58" s="165"/>
    </row>
    <row r="59" spans="1:2">
      <c r="A59" s="165"/>
      <c r="B59" s="165"/>
    </row>
    <row r="60" spans="1:2">
      <c r="A60" s="165"/>
      <c r="B60" s="165"/>
    </row>
    <row r="61" spans="1:2">
      <c r="A61" s="165"/>
      <c r="B61" s="165"/>
    </row>
    <row r="62" spans="1:2">
      <c r="A62" s="165"/>
      <c r="B62" s="165"/>
    </row>
    <row r="63" spans="1:2">
      <c r="A63" s="165"/>
      <c r="B63" s="165"/>
    </row>
    <row r="64" spans="1:2">
      <c r="A64" s="165"/>
      <c r="B64" s="165"/>
    </row>
    <row r="65" spans="1:2">
      <c r="A65" s="165"/>
      <c r="B65" s="165"/>
    </row>
    <row r="66" spans="1:2">
      <c r="A66" s="165"/>
      <c r="B66" s="165"/>
    </row>
    <row r="67" spans="1:2">
      <c r="A67" s="165"/>
      <c r="B67" s="165"/>
    </row>
    <row r="68" spans="1:2">
      <c r="A68" s="165"/>
      <c r="B68" s="165"/>
    </row>
    <row r="69" spans="1:2">
      <c r="A69" s="165"/>
      <c r="B69" s="165"/>
    </row>
    <row r="70" spans="1:2">
      <c r="A70" s="165"/>
      <c r="B70" s="165"/>
    </row>
    <row r="71" spans="1:2">
      <c r="A71" s="165"/>
      <c r="B71" s="165"/>
    </row>
    <row r="72" spans="1:2">
      <c r="A72" s="165"/>
      <c r="B72" s="165"/>
    </row>
    <row r="73" spans="1:2">
      <c r="A73" s="165"/>
      <c r="B73" s="165"/>
    </row>
    <row r="74" spans="1:2">
      <c r="A74" s="165"/>
      <c r="B74" s="165"/>
    </row>
    <row r="75" spans="1:2">
      <c r="A75" s="165"/>
      <c r="B75" s="165"/>
    </row>
    <row r="76" spans="1:2">
      <c r="A76" s="165"/>
      <c r="B76" s="165"/>
    </row>
    <row r="77" spans="1:2">
      <c r="A77" s="165"/>
      <c r="B77" s="165"/>
    </row>
    <row r="78" spans="1:2">
      <c r="A78" s="165"/>
      <c r="B78" s="165"/>
    </row>
    <row r="79" spans="1:2">
      <c r="A79" s="165"/>
      <c r="B79" s="165"/>
    </row>
    <row r="80" spans="1:2">
      <c r="A80" s="165"/>
      <c r="B80" s="165"/>
    </row>
    <row r="81" spans="1:2">
      <c r="A81" s="165"/>
      <c r="B81" s="165"/>
    </row>
    <row r="82" spans="1:2">
      <c r="A82" s="165"/>
      <c r="B82" s="165"/>
    </row>
    <row r="83" spans="1:2">
      <c r="A83" s="165"/>
      <c r="B83" s="165"/>
    </row>
    <row r="84" spans="1:2">
      <c r="A84" s="165"/>
      <c r="B84" s="165"/>
    </row>
    <row r="85" spans="1:2">
      <c r="A85" s="165"/>
      <c r="B85" s="165"/>
    </row>
    <row r="86" spans="1:2">
      <c r="A86" s="165"/>
      <c r="B86" s="165"/>
    </row>
    <row r="87" spans="1:2">
      <c r="A87" s="165"/>
      <c r="B87" s="165"/>
    </row>
    <row r="88" spans="1:2">
      <c r="A88" s="165"/>
      <c r="B88" s="165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5" ma:contentTypeDescription="Create a new document." ma:contentTypeScope="" ma:versionID="57dc3235c951814817744eeddbaef84b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d25759a2e0a6c409a5675b9d3245aeb3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F9FD27-698A-4259-BC06-6D4A65A05AE8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c49de858-f9fd-4eb6-bcba-50396646711f"/>
    <ds:schemaRef ds:uri="http://schemas.openxmlformats.org/package/2006/metadata/core-properties"/>
    <ds:schemaRef ds:uri="7818c5c2-d41f-4dce-801c-4e3595afcb3f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962478-6736-46F8-AD75-7EF5A8C15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 </vt:lpstr>
      <vt:lpstr>Figure 3</vt:lpstr>
      <vt:lpstr>Figure 4</vt:lpstr>
      <vt:lpstr>Figure 5</vt:lpstr>
      <vt:lpstr>Figure 6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price, USDA, U.S. Department of Agriculture, ERS, Economic Research Service</cp:keywords>
  <dc:description/>
  <cp:lastModifiedBy>Boulanger, Stephanie - REE-ERS, Kansas City, MO</cp:lastModifiedBy>
  <cp:revision/>
  <dcterms:created xsi:type="dcterms:W3CDTF">2001-11-13T16:22:15Z</dcterms:created>
  <dcterms:modified xsi:type="dcterms:W3CDTF">2023-11-14T13:50:10Z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</Properties>
</file>