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3/OCS-23L December 2023/"/>
    </mc:Choice>
  </mc:AlternateContent>
  <xr:revisionPtr revIDLastSave="3944" documentId="8_{CCBC65EF-0281-435B-B65A-E5A82AAE5D17}" xr6:coauthVersionLast="47" xr6:coauthVersionMax="47" xr10:uidLastSave="{DAB1C578-5202-4FFF-B9BC-60FCCC47EEC3}"/>
  <bookViews>
    <workbookView xWindow="28680" yWindow="-120" windowWidth="29040" windowHeight="15840" tabRatio="682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54" r:id="rId9"/>
    <sheet name="Figure 2" sheetId="156" r:id="rId10"/>
    <sheet name="Figure1sa" sheetId="161" r:id="rId11"/>
    <sheet name="Figure 2sa" sheetId="162" r:id="rId12"/>
    <sheet name="Figure 3sa" sheetId="160" r:id="rId13"/>
    <sheet name="Figure 4sa" sheetId="163" r:id="rId14"/>
    <sheet name="Figure 5asa" sheetId="165" r:id="rId15"/>
    <sheet name="Figure 5bsa" sheetId="164" r:id="rId16"/>
    <sheet name="Figure 6sa" sheetId="166" r:id="rId17"/>
    <sheet name="Figure 7sa" sheetId="167" r:id="rId18"/>
  </sheets>
  <definedNames>
    <definedName name="_xlnm.Print_Area" localSheetId="1">'Table 1'!$A$1:$N$33</definedName>
    <definedName name="_xlnm.Print_Area" localSheetId="7">'Table 10'!$A$1:$G$39</definedName>
    <definedName name="_xlnm.Print_Area" localSheetId="2">'Table 2'!$A$1:$J$28</definedName>
    <definedName name="_xlnm.Print_Area" localSheetId="3">'Table 3'!$A$1:$L$41</definedName>
    <definedName name="_xlnm.Print_Area" localSheetId="5">'Table 8'!$A$1:$G$38</definedName>
    <definedName name="_xlnm.Print_Area" localSheetId="6">'Table 9'!$A$1:$I$40</definedName>
    <definedName name="_xlnm.Print_Area" localSheetId="4">'Tables 4-7'!$A$1:$O$52</definedName>
    <definedName name="WASDE_Updated" localSheetId="0">Contents!#REF!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J6" i="9"/>
  <c r="B11" i="9"/>
  <c r="B11" i="2"/>
  <c r="I19" i="2"/>
  <c r="G7" i="2"/>
  <c r="E7" i="2"/>
  <c r="I7" i="2" s="1"/>
  <c r="I6" i="2"/>
  <c r="G6" i="2"/>
  <c r="G19" i="5" l="1"/>
  <c r="K26" i="9"/>
  <c r="G26" i="9"/>
  <c r="H19" i="5" l="1"/>
  <c r="I19" i="5" l="1"/>
  <c r="C3" i="154" l="1"/>
  <c r="C4" i="154"/>
  <c r="C5" i="154"/>
  <c r="C6" i="154"/>
  <c r="C7" i="154"/>
  <c r="C8" i="154"/>
  <c r="C9" i="154"/>
  <c r="C10" i="154"/>
  <c r="C11" i="154"/>
  <c r="C12" i="154"/>
  <c r="C13" i="154"/>
  <c r="C2" i="154"/>
  <c r="L31" i="1"/>
  <c r="G31" i="1"/>
  <c r="D26" i="2"/>
  <c r="H26" i="2"/>
  <c r="D26" i="9"/>
  <c r="J26" i="9"/>
  <c r="F11" i="161" l="1"/>
  <c r="J31" i="1" l="1"/>
  <c r="E6" i="9"/>
  <c r="G6" i="9" s="1"/>
  <c r="I6" i="9" s="1"/>
  <c r="K6" i="9" l="1"/>
  <c r="M6" i="1"/>
  <c r="E6" i="2"/>
  <c r="E23" i="2"/>
  <c r="H7" i="2"/>
  <c r="J7" i="9"/>
  <c r="H7" i="9"/>
  <c r="H23" i="9"/>
  <c r="I22" i="9"/>
  <c r="B8" i="9" l="1"/>
  <c r="L7" i="9"/>
  <c r="J23" i="9"/>
  <c r="D23" i="9"/>
  <c r="D7" i="9" s="1"/>
  <c r="C23" i="9"/>
  <c r="C7" i="9" s="1"/>
  <c r="J22" i="9"/>
  <c r="D22" i="9"/>
  <c r="B22" i="9"/>
  <c r="E22" i="9" s="1"/>
  <c r="K22" i="9" s="1"/>
  <c r="J21" i="9"/>
  <c r="D21" i="9"/>
  <c r="B21" i="9"/>
  <c r="J20" i="9"/>
  <c r="D20" i="9"/>
  <c r="B20" i="9"/>
  <c r="E20" i="9" s="1"/>
  <c r="K20" i="9" s="1"/>
  <c r="G20" i="9" s="1"/>
  <c r="I20" i="9" s="1"/>
  <c r="J19" i="9"/>
  <c r="D19" i="9"/>
  <c r="B19" i="9"/>
  <c r="E19" i="9" s="1"/>
  <c r="K19" i="9" s="1"/>
  <c r="G19" i="9" s="1"/>
  <c r="I19" i="9" s="1"/>
  <c r="J18" i="9"/>
  <c r="E18" i="9"/>
  <c r="K18" i="9" s="1"/>
  <c r="G18" i="9" s="1"/>
  <c r="I18" i="9" s="1"/>
  <c r="D18" i="9"/>
  <c r="B18" i="9"/>
  <c r="J17" i="9"/>
  <c r="D17" i="9"/>
  <c r="B17" i="9"/>
  <c r="J16" i="9"/>
  <c r="D16" i="9"/>
  <c r="B16" i="9"/>
  <c r="E16" i="9" s="1"/>
  <c r="K16" i="9" s="1"/>
  <c r="G16" i="9" s="1"/>
  <c r="I16" i="9" s="1"/>
  <c r="J15" i="9"/>
  <c r="D15" i="9"/>
  <c r="B15" i="9"/>
  <c r="J14" i="9"/>
  <c r="D14" i="9"/>
  <c r="B14" i="9"/>
  <c r="E14" i="9" s="1"/>
  <c r="K14" i="9" s="1"/>
  <c r="J13" i="9"/>
  <c r="D13" i="9"/>
  <c r="E13" i="9" s="1"/>
  <c r="K13" i="9" s="1"/>
  <c r="G13" i="9" s="1"/>
  <c r="I13" i="9" s="1"/>
  <c r="B13" i="9"/>
  <c r="J12" i="9"/>
  <c r="D12" i="9"/>
  <c r="B12" i="9"/>
  <c r="E12" i="9" s="1"/>
  <c r="K12" i="9" s="1"/>
  <c r="G12" i="9" s="1"/>
  <c r="I12" i="9" s="1"/>
  <c r="J11" i="9"/>
  <c r="D11" i="9"/>
  <c r="B26" i="2"/>
  <c r="J7" i="2"/>
  <c r="H23" i="2"/>
  <c r="D23" i="2"/>
  <c r="D7" i="2" s="1"/>
  <c r="C23" i="2"/>
  <c r="C7" i="2" s="1"/>
  <c r="H22" i="2"/>
  <c r="D22" i="2"/>
  <c r="B22" i="2"/>
  <c r="E22" i="2" s="1"/>
  <c r="I22" i="2" s="1"/>
  <c r="G22" i="2" s="1"/>
  <c r="H21" i="2"/>
  <c r="D21" i="2"/>
  <c r="B21" i="2"/>
  <c r="H20" i="2"/>
  <c r="D20" i="2"/>
  <c r="B20" i="2"/>
  <c r="E20" i="2" s="1"/>
  <c r="I20" i="2" s="1"/>
  <c r="G20" i="2" s="1"/>
  <c r="H19" i="2"/>
  <c r="D19" i="2"/>
  <c r="B19" i="2"/>
  <c r="E19" i="2" s="1"/>
  <c r="G19" i="2" s="1"/>
  <c r="H18" i="2"/>
  <c r="D18" i="2"/>
  <c r="B18" i="2"/>
  <c r="E18" i="2" s="1"/>
  <c r="I18" i="2" s="1"/>
  <c r="G18" i="2" s="1"/>
  <c r="H17" i="2"/>
  <c r="D17" i="2"/>
  <c r="B17" i="2"/>
  <c r="H16" i="2"/>
  <c r="D16" i="2"/>
  <c r="B16" i="2"/>
  <c r="E16" i="2" s="1"/>
  <c r="I16" i="2" s="1"/>
  <c r="G16" i="2" s="1"/>
  <c r="H15" i="2"/>
  <c r="D15" i="2"/>
  <c r="B15" i="2"/>
  <c r="E15" i="2" s="1"/>
  <c r="I15" i="2" s="1"/>
  <c r="G15" i="2" s="1"/>
  <c r="H14" i="2"/>
  <c r="D14" i="2"/>
  <c r="B14" i="2"/>
  <c r="E14" i="2" s="1"/>
  <c r="I14" i="2" s="1"/>
  <c r="G14" i="2" s="1"/>
  <c r="H13" i="2"/>
  <c r="D13" i="2"/>
  <c r="B13" i="2"/>
  <c r="H12" i="2"/>
  <c r="D12" i="2"/>
  <c r="B12" i="2"/>
  <c r="E12" i="2" s="1"/>
  <c r="I12" i="2" s="1"/>
  <c r="G12" i="2" s="1"/>
  <c r="H11" i="2"/>
  <c r="D11" i="2"/>
  <c r="E11" i="2"/>
  <c r="I11" i="2" s="1"/>
  <c r="G11" i="2" l="1"/>
  <c r="I23" i="2"/>
  <c r="E17" i="9"/>
  <c r="K17" i="9" s="1"/>
  <c r="G17" i="9" s="1"/>
  <c r="I17" i="9" s="1"/>
  <c r="G22" i="9"/>
  <c r="E15" i="9"/>
  <c r="K15" i="9" s="1"/>
  <c r="G15" i="9" s="1"/>
  <c r="I15" i="9" s="1"/>
  <c r="G14" i="9"/>
  <c r="I14" i="9" s="1"/>
  <c r="E21" i="9"/>
  <c r="K21" i="9" s="1"/>
  <c r="G21" i="9" s="1"/>
  <c r="I21" i="9" s="1"/>
  <c r="E11" i="9"/>
  <c r="K11" i="9" s="1"/>
  <c r="G11" i="9" s="1"/>
  <c r="G23" i="9" s="1"/>
  <c r="I23" i="9" s="1"/>
  <c r="E23" i="9"/>
  <c r="E7" i="9" s="1"/>
  <c r="E13" i="2"/>
  <c r="I13" i="2" s="1"/>
  <c r="G13" i="2" s="1"/>
  <c r="E17" i="2"/>
  <c r="I17" i="2" s="1"/>
  <c r="G17" i="2" s="1"/>
  <c r="E21" i="2"/>
  <c r="I21" i="2" s="1"/>
  <c r="G21" i="2" s="1"/>
  <c r="G23" i="2"/>
  <c r="E14" i="1"/>
  <c r="J17" i="1"/>
  <c r="G15" i="1"/>
  <c r="B34" i="1"/>
  <c r="L45" i="3"/>
  <c r="E46" i="3"/>
  <c r="N46" i="3"/>
  <c r="J7" i="3"/>
  <c r="J6" i="3"/>
  <c r="E7" i="3"/>
  <c r="K23" i="9" l="1"/>
  <c r="I11" i="9"/>
  <c r="G30" i="1"/>
  <c r="L30" i="1" l="1"/>
  <c r="J30" i="1" l="1"/>
  <c r="G8" i="9" l="1"/>
  <c r="F7" i="2"/>
  <c r="N7" i="1"/>
  <c r="E8" i="1" s="1"/>
  <c r="F7" i="1"/>
  <c r="L27" i="1"/>
  <c r="L7" i="1" s="1"/>
  <c r="G27" i="1"/>
  <c r="G7" i="1" s="1"/>
  <c r="L25" i="1"/>
  <c r="J25" i="1"/>
  <c r="G25" i="1"/>
  <c r="L24" i="1"/>
  <c r="J24" i="1"/>
  <c r="G24" i="1"/>
  <c r="L23" i="1"/>
  <c r="J23" i="1"/>
  <c r="G23" i="1"/>
  <c r="N22" i="1"/>
  <c r="E26" i="1" s="1"/>
  <c r="L21" i="1"/>
  <c r="J21" i="1"/>
  <c r="G21" i="1"/>
  <c r="L20" i="1"/>
  <c r="J20" i="1"/>
  <c r="G20" i="1"/>
  <c r="L19" i="1"/>
  <c r="J19" i="1"/>
  <c r="G19" i="1"/>
  <c r="N18" i="1"/>
  <c r="E22" i="1" s="1"/>
  <c r="L17" i="1"/>
  <c r="G17" i="1"/>
  <c r="L16" i="1"/>
  <c r="J16" i="1"/>
  <c r="G16" i="1"/>
  <c r="L15" i="1"/>
  <c r="J15" i="1"/>
  <c r="N14" i="1"/>
  <c r="E18" i="1" s="1"/>
  <c r="L13" i="1"/>
  <c r="J13" i="1"/>
  <c r="G13" i="1"/>
  <c r="L12" i="1"/>
  <c r="J12" i="1"/>
  <c r="G12" i="1"/>
  <c r="L11" i="1"/>
  <c r="L14" i="1" s="1"/>
  <c r="J11" i="1"/>
  <c r="G11" i="1"/>
  <c r="H6" i="1"/>
  <c r="I32" i="3"/>
  <c r="L18" i="1" l="1"/>
  <c r="G26" i="1"/>
  <c r="G14" i="1"/>
  <c r="H14" i="1" s="1"/>
  <c r="M14" i="1" s="1"/>
  <c r="K14" i="1" s="1"/>
  <c r="H26" i="1"/>
  <c r="M26" i="1" s="1"/>
  <c r="J22" i="1"/>
  <c r="L22" i="1"/>
  <c r="G18" i="1"/>
  <c r="H18" i="1" s="1"/>
  <c r="M18" i="1" s="1"/>
  <c r="K18" i="1" s="1"/>
  <c r="J18" i="1"/>
  <c r="J26" i="1"/>
  <c r="L26" i="1"/>
  <c r="G22" i="1"/>
  <c r="H22" i="1" s="1"/>
  <c r="M22" i="1" s="1"/>
  <c r="J14" i="1"/>
  <c r="D7" i="1"/>
  <c r="K26" i="1" l="1"/>
  <c r="J27" i="1"/>
  <c r="J7" i="1" s="1"/>
  <c r="K22" i="1"/>
  <c r="D46" i="3" l="1"/>
  <c r="J8" i="3" l="1"/>
  <c r="I33" i="3"/>
  <c r="K8" i="9" l="1"/>
  <c r="D8" i="1" l="1"/>
  <c r="M8" i="1" l="1"/>
  <c r="I21" i="3" l="1"/>
  <c r="B26" i="9" l="1"/>
  <c r="E26" i="9" l="1"/>
  <c r="K7" i="9"/>
  <c r="G7" i="9" s="1"/>
  <c r="I7" i="9" s="1"/>
  <c r="E26" i="2"/>
  <c r="I26" i="2" s="1"/>
  <c r="G26" i="2" l="1"/>
  <c r="B7" i="9"/>
  <c r="B41" i="6" l="1"/>
  <c r="B41" i="5"/>
  <c r="B40" i="4"/>
  <c r="B50" i="3"/>
  <c r="B29" i="9"/>
  <c r="B29" i="2"/>
  <c r="E7" i="1" l="1"/>
  <c r="H7" i="1" s="1"/>
  <c r="M7" i="1" s="1"/>
  <c r="K7" i="1" s="1"/>
  <c r="D45" i="3" l="1"/>
  <c r="E45" i="3" l="1"/>
  <c r="H45" i="3" s="1"/>
  <c r="N45" i="3" s="1"/>
  <c r="B32" i="3"/>
  <c r="E32" i="3" s="1"/>
  <c r="J32" i="3" s="1"/>
  <c r="B20" i="3"/>
  <c r="E20" i="3" s="1"/>
  <c r="G20" i="3" s="1"/>
  <c r="B7" i="3"/>
  <c r="E8" i="2" l="1"/>
  <c r="H46" i="3"/>
  <c r="O46" i="3" s="1"/>
  <c r="I20" i="3"/>
  <c r="B21" i="3" s="1"/>
  <c r="E21" i="3" s="1"/>
  <c r="J21" i="3" s="1"/>
  <c r="H8" i="1" l="1"/>
  <c r="N8" i="1" s="1"/>
  <c r="D44" i="3" l="1"/>
  <c r="D6" i="1"/>
  <c r="E6" i="3" l="1"/>
  <c r="I6" i="3" s="1"/>
  <c r="E19" i="3"/>
  <c r="G19" i="3" s="1"/>
  <c r="I19" i="3" s="1"/>
  <c r="H44" i="3"/>
  <c r="N44" i="3" l="1"/>
  <c r="L44" i="3" s="1"/>
  <c r="E31" i="3"/>
  <c r="I31" i="3" s="1"/>
  <c r="G31" i="3" s="1"/>
  <c r="K6" i="1" l="1"/>
  <c r="B33" i="3" l="1"/>
  <c r="E33" i="3" s="1"/>
  <c r="J33" i="3" s="1"/>
  <c r="E8" i="9" l="1"/>
  <c r="L8" i="9" s="1"/>
  <c r="B8" i="3" l="1"/>
  <c r="E8" i="3" s="1"/>
  <c r="K8" i="3" s="1"/>
  <c r="I7" i="3"/>
  <c r="B8" i="2" l="1"/>
  <c r="B7" i="2"/>
  <c r="G8" i="2" l="1"/>
  <c r="I8" i="2"/>
</calcChain>
</file>

<file path=xl/sharedStrings.xml><?xml version="1.0" encoding="utf-8"?>
<sst xmlns="http://schemas.openxmlformats.org/spreadsheetml/2006/main" count="609" uniqueCount="213">
  <si>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</si>
  <si>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</si>
  <si>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</si>
  <si>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</si>
  <si>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</si>
  <si>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</si>
  <si>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</si>
  <si>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</si>
  <si>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</si>
  <si>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</si>
  <si>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</si>
  <si>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Maria Bukowski; Bryn Swearingen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</si>
  <si>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</si>
  <si>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</si>
  <si>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</si>
  <si>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</si>
  <si>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</si>
  <si>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</si>
  <si>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</si>
  <si>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</si>
  <si>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</si>
  <si>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</si>
  <si>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</si>
  <si>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</si>
  <si>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</si>
  <si>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</si>
  <si>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</si>
  <si>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</si>
  <si>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</si>
  <si>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</si>
  <si>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</si>
  <si>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</si>
  <si>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</si>
  <si>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</si>
  <si>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2021/22</t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</si>
  <si>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</si>
  <si>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</si>
  <si>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</si>
  <si>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</si>
  <si>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</si>
  <si>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</si>
  <si>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</si>
  <si>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</si>
  <si>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</si>
  <si>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</si>
  <si>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</si>
  <si>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</si>
  <si>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</si>
  <si>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</si>
  <si>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</si>
  <si>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</si>
  <si>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</si>
  <si>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>2022/23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</si>
  <si>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36.74371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</si>
  <si>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</si>
  <si>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</si>
  <si>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</si>
  <si>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</si>
  <si>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</si>
  <si>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</si>
  <si>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</si>
  <si>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</si>
  <si>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</si>
  <si>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</si>
  <si>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</si>
  <si>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</si>
  <si>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</si>
  <si>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</si>
  <si>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</si>
  <si>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</si>
  <si>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</si>
  <si>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</si>
  <si>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</si>
  <si>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</si>
  <si>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</si>
  <si>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</si>
  <si>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</si>
  <si>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</si>
  <si>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</si>
  <si>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</si>
  <si>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</si>
  <si>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</si>
  <si>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</si>
  <si>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</si>
  <si>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</si>
  <si>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</si>
  <si>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</si>
  <si>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</si>
  <si>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</si>
  <si>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</si>
  <si>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</si>
  <si>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</si>
  <si>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</si>
  <si>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Pounds/acre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</si>
  <si>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</si>
  <si>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</si>
  <si>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</si>
  <si>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</si>
  <si>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</si>
  <si>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</si>
  <si>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</si>
  <si>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</si>
  <si>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</si>
  <si>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</si>
  <si>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</si>
  <si>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</si>
  <si>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</si>
  <si>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</si>
  <si>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</si>
  <si>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</si>
  <si>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</si>
  <si>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</si>
  <si>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</si>
  <si>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</si>
  <si>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</si>
  <si>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</si>
  <si>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</si>
  <si>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</si>
  <si>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</si>
  <si>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r>
      <t>2022/23</t>
    </r>
    <r>
      <rPr>
        <vertAlign val="superscript"/>
        <sz val="11"/>
        <rFont val="Arial"/>
        <family val="2"/>
      </rPr>
      <t>4</t>
    </r>
  </si>
  <si>
    <r>
      <t>2023/24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</si>
  <si>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</si>
  <si>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</si>
  <si>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</si>
  <si>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</si>
  <si>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</si>
  <si>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</si>
  <si>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</si>
  <si>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</si>
  <si>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</si>
  <si>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</si>
  <si>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</si>
  <si>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</si>
  <si>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</si>
  <si>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</si>
  <si>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</si>
  <si>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</si>
  <si>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</si>
  <si>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2022/23</t>
    </r>
    <r>
      <rPr>
        <vertAlign val="superscript"/>
        <sz val="11"/>
        <rFont val="Arial"/>
        <family val="2"/>
      </rPr>
      <t>7</t>
    </r>
  </si>
  <si>
    <r>
      <t>2023/24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</si>
  <si>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</si>
  <si>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</si>
  <si>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</si>
  <si>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</si>
  <si>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</si>
  <si>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</si>
  <si>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</si>
  <si>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</si>
  <si>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</si>
  <si>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</si>
  <si>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</si>
  <si>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</si>
  <si>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</si>
  <si>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</si>
  <si>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</si>
  <si>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</si>
  <si>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t>2023/24</t>
  </si>
  <si>
    <t>2023/24 Nov*</t>
  </si>
  <si>
    <t>Oct.</t>
  </si>
  <si>
    <t>Nov.</t>
  </si>
  <si>
    <t>Dec.</t>
  </si>
  <si>
    <t>Jan.</t>
  </si>
  <si>
    <t>Feb.</t>
  </si>
  <si>
    <t>Mar.</t>
  </si>
  <si>
    <t>Apr.</t>
  </si>
  <si>
    <t>Jun.</t>
  </si>
  <si>
    <t>Aug.</t>
  </si>
  <si>
    <t>Sep.</t>
  </si>
  <si>
    <t>Month</t>
  </si>
  <si>
    <t>2023/24*</t>
  </si>
  <si>
    <t xml:space="preserve">  June–August</t>
  </si>
  <si>
    <t>Export price U.S. Dollars per Metric Ton</t>
  </si>
  <si>
    <t>Soybean oil, U.S. Gulf, FOB</t>
  </si>
  <si>
    <t>Soybean oil, Argentina, Upriver, FOB</t>
  </si>
  <si>
    <t>Rapeseed oil, Netherlands, ex-mill, FOB</t>
  </si>
  <si>
    <t>Sunflowerseed oil, Ukraine,FOB</t>
  </si>
  <si>
    <t>Palm oil, Indonesia, FOB</t>
  </si>
  <si>
    <t>Billion gallons</t>
  </si>
  <si>
    <t>Billion pounds</t>
  </si>
  <si>
    <t>Biodiesel</t>
  </si>
  <si>
    <t>Renewable diesel fuel</t>
  </si>
  <si>
    <t>Other biofuels</t>
  </si>
  <si>
    <t>Soybean oil</t>
  </si>
  <si>
    <t>Canola oil</t>
  </si>
  <si>
    <t>Corn oil</t>
  </si>
  <si>
    <t>Biofuel</t>
  </si>
  <si>
    <t>Food, feed, and other industrial use</t>
  </si>
  <si>
    <t>2022/23*</t>
  </si>
  <si>
    <t>South Korea</t>
  </si>
  <si>
    <t>Mexico</t>
  </si>
  <si>
    <t>Dominican Republic</t>
  </si>
  <si>
    <t>Colombia</t>
  </si>
  <si>
    <t xml:space="preserve">Guatemala </t>
  </si>
  <si>
    <t>World total</t>
  </si>
  <si>
    <t>ROW</t>
  </si>
  <si>
    <t>Country</t>
  </si>
  <si>
    <t>United States</t>
  </si>
  <si>
    <t>Argentina</t>
  </si>
  <si>
    <t>Vietnam</t>
  </si>
  <si>
    <t>Brazil</t>
  </si>
  <si>
    <t>Belgium</t>
  </si>
  <si>
    <t>Guatemala</t>
  </si>
  <si>
    <t>Belize</t>
  </si>
  <si>
    <t>Rapeseed oil</t>
  </si>
  <si>
    <t>Palm oil</t>
  </si>
  <si>
    <t>Sunflowerseed oil</t>
  </si>
  <si>
    <t>Other oils*</t>
  </si>
  <si>
    <t>China</t>
  </si>
  <si>
    <t>Canada</t>
  </si>
  <si>
    <t>Australia</t>
  </si>
  <si>
    <t>New Zealand</t>
  </si>
  <si>
    <t>2023/24 Dec*</t>
  </si>
  <si>
    <t>Area harvested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</si>
</sst>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_);\(#,##0.0\)"/>
    <numFmt numFmtId="175" formatCode="#,##0.00000"/>
    <numFmt numFmtId="176" formatCode="0.000000"/>
    <numFmt numFmtId="177" formatCode="0.0000000"/>
    <numFmt numFmtId="178" formatCode="[$-409]mmm\-yy;@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77">
    <xf numFmtId="0" fontId="0" fillId="0" borderId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39" fillId="0" borderId="0"/>
    <xf numFmtId="0" fontId="39" fillId="0" borderId="0"/>
    <xf numFmtId="0" fontId="39" fillId="0" borderId="0"/>
    <xf numFmtId="0" fontId="50" fillId="0" borderId="0"/>
    <xf numFmtId="9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52" fillId="0" borderId="0"/>
    <xf numFmtId="0" fontId="37" fillId="0" borderId="0"/>
    <xf numFmtId="0" fontId="36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43" fontId="34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2" fillId="0" borderId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44" fontId="38" fillId="0" borderId="0" applyFont="0" applyFill="0" applyBorder="0" applyAlignment="0" applyProtection="0"/>
    <xf numFmtId="0" fontId="29" fillId="0" borderId="0"/>
    <xf numFmtId="0" fontId="28" fillId="0" borderId="0"/>
    <xf numFmtId="0" fontId="27" fillId="0" borderId="0"/>
    <xf numFmtId="0" fontId="26" fillId="0" borderId="0"/>
    <xf numFmtId="43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</cellStyleXfs>
  <cellXfs count="229">
    <xf numFmtId="0" fontId="0" fillId="0" borderId="0" xfId="0"/>
    <xf numFmtId="0" fontId="39" fillId="0" borderId="0" xfId="8"/>
    <xf numFmtId="0" fontId="40" fillId="0" borderId="0" xfId="8" applyFont="1"/>
    <xf numFmtId="0" fontId="45" fillId="0" borderId="0" xfId="8" applyFont="1"/>
    <xf numFmtId="0" fontId="46" fillId="0" borderId="0" xfId="8" applyFont="1"/>
    <xf numFmtId="169" fontId="47" fillId="0" borderId="0" xfId="1" applyNumberFormat="1" applyFont="1" applyFill="1" applyBorder="1" applyAlignment="1">
      <alignment horizontal="center"/>
    </xf>
    <xf numFmtId="169" fontId="47" fillId="0" borderId="0" xfId="1" applyNumberFormat="1" applyFont="1" applyFill="1" applyBorder="1" applyAlignment="1">
      <alignment horizontal="right" indent="1"/>
    </xf>
    <xf numFmtId="0" fontId="53" fillId="0" borderId="0" xfId="7" applyFont="1" applyAlignment="1">
      <alignment horizontal="left"/>
    </xf>
    <xf numFmtId="0" fontId="54" fillId="0" borderId="0" xfId="5" applyFont="1" applyAlignment="1" applyProtection="1"/>
    <xf numFmtId="14" fontId="53" fillId="0" borderId="0" xfId="7" applyNumberFormat="1" applyFont="1" applyAlignment="1">
      <alignment horizontal="left"/>
    </xf>
    <xf numFmtId="0" fontId="54" fillId="0" borderId="0" xfId="4" applyFont="1" applyAlignment="1" applyProtection="1"/>
    <xf numFmtId="0" fontId="47" fillId="0" borderId="0" xfId="7" quotePrefix="1" applyFont="1" applyAlignment="1">
      <alignment horizontal="left"/>
    </xf>
    <xf numFmtId="0" fontId="47" fillId="0" borderId="0" xfId="8" applyFont="1" applyAlignment="1">
      <alignment wrapText="1"/>
    </xf>
    <xf numFmtId="169" fontId="47" fillId="0" borderId="0" xfId="1" applyNumberFormat="1" applyFont="1" applyFill="1" applyBorder="1" applyAlignment="1">
      <alignment horizontal="right"/>
    </xf>
    <xf numFmtId="0" fontId="47" fillId="0" borderId="1" xfId="0" applyFont="1" applyBorder="1"/>
    <xf numFmtId="0" fontId="47" fillId="0" borderId="0" xfId="0" applyFont="1"/>
    <xf numFmtId="0" fontId="47" fillId="0" borderId="2" xfId="0" applyFont="1" applyBorder="1" applyAlignment="1">
      <alignment horizontal="right"/>
    </xf>
    <xf numFmtId="0" fontId="47" fillId="0" borderId="0" xfId="0" applyFont="1" applyAlignment="1">
      <alignment horizontal="center"/>
    </xf>
    <xf numFmtId="0" fontId="0" fillId="0" borderId="2" xfId="0" applyBorder="1"/>
    <xf numFmtId="0" fontId="47" fillId="0" borderId="2" xfId="0" applyFont="1" applyBorder="1" applyAlignment="1">
      <alignment horizontal="left"/>
    </xf>
    <xf numFmtId="0" fontId="47" fillId="0" borderId="0" xfId="0" applyFont="1" applyAlignment="1">
      <alignment horizontal="right"/>
    </xf>
    <xf numFmtId="16" fontId="47" fillId="0" borderId="1" xfId="0" quotePrefix="1" applyNumberFormat="1" applyFont="1" applyBorder="1"/>
    <xf numFmtId="16" fontId="47" fillId="0" borderId="1" xfId="0" applyNumberFormat="1" applyFont="1" applyBorder="1"/>
    <xf numFmtId="0" fontId="47" fillId="0" borderId="1" xfId="0" applyFont="1" applyBorder="1" applyAlignment="1">
      <alignment horizontal="center"/>
    </xf>
    <xf numFmtId="0" fontId="47" fillId="0" borderId="1" xfId="0" applyFont="1" applyBorder="1" applyAlignment="1">
      <alignment horizontal="right"/>
    </xf>
    <xf numFmtId="0" fontId="47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48" fillId="0" borderId="3" xfId="0" quotePrefix="1" applyFont="1" applyBorder="1" applyAlignment="1">
      <alignment horizontal="center"/>
    </xf>
    <xf numFmtId="0" fontId="48" fillId="0" borderId="0" xfId="0" quotePrefix="1" applyFont="1" applyAlignment="1">
      <alignment horizontal="right"/>
    </xf>
    <xf numFmtId="167" fontId="47" fillId="0" borderId="0" xfId="0" applyNumberFormat="1" applyFont="1" applyAlignment="1">
      <alignment horizontal="center"/>
    </xf>
    <xf numFmtId="165" fontId="47" fillId="0" borderId="0" xfId="1" applyNumberFormat="1" applyFont="1" applyFill="1" applyAlignment="1">
      <alignment horizontal="left"/>
    </xf>
    <xf numFmtId="165" fontId="47" fillId="0" borderId="0" xfId="1" applyNumberFormat="1" applyFont="1" applyFill="1" applyAlignment="1">
      <alignment horizontal="center"/>
    </xf>
    <xf numFmtId="3" fontId="47" fillId="0" borderId="0" xfId="1" applyNumberFormat="1" applyFont="1" applyFill="1" applyBorder="1" applyAlignment="1">
      <alignment horizontal="right" indent="1"/>
    </xf>
    <xf numFmtId="164" fontId="47" fillId="0" borderId="0" xfId="1" applyNumberFormat="1" applyFont="1" applyFill="1" applyBorder="1"/>
    <xf numFmtId="164" fontId="47" fillId="0" borderId="0" xfId="1" applyNumberFormat="1" applyFont="1" applyFill="1" applyBorder="1" applyAlignment="1">
      <alignment horizontal="right"/>
    </xf>
    <xf numFmtId="0" fontId="53" fillId="0" borderId="0" xfId="0" applyFont="1"/>
    <xf numFmtId="169" fontId="47" fillId="0" borderId="0" xfId="1" quotePrefix="1" applyNumberFormat="1" applyFont="1" applyFill="1" applyBorder="1" applyAlignment="1">
      <alignment horizontal="right"/>
    </xf>
    <xf numFmtId="164" fontId="47" fillId="0" borderId="0" xfId="1" applyNumberFormat="1" applyFont="1" applyFill="1" applyBorder="1" applyAlignment="1">
      <alignment horizontal="center"/>
    </xf>
    <xf numFmtId="164" fontId="47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4" fontId="47" fillId="0" borderId="0" xfId="1" applyNumberFormat="1" applyFont="1" applyFill="1"/>
    <xf numFmtId="14" fontId="47" fillId="0" borderId="0" xfId="0" applyNumberFormat="1" applyFont="1" applyAlignment="1">
      <alignment horizontal="left"/>
    </xf>
    <xf numFmtId="3" fontId="47" fillId="0" borderId="0" xfId="1" applyNumberFormat="1" applyFont="1" applyFill="1" applyAlignment="1">
      <alignment horizontal="right" indent="2"/>
    </xf>
    <xf numFmtId="3" fontId="47" fillId="0" borderId="0" xfId="1" applyNumberFormat="1" applyFont="1" applyFill="1" applyAlignment="1">
      <alignment horizontal="right" indent="1"/>
    </xf>
    <xf numFmtId="3" fontId="47" fillId="0" borderId="0" xfId="1" applyNumberFormat="1" applyFont="1" applyFill="1" applyAlignment="1">
      <alignment horizontal="center"/>
    </xf>
    <xf numFmtId="169" fontId="47" fillId="0" borderId="0" xfId="1" applyNumberFormat="1" applyFont="1" applyFill="1" applyBorder="1" applyAlignment="1">
      <alignment horizontal="right" indent="2"/>
    </xf>
    <xf numFmtId="0" fontId="49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47" fillId="0" borderId="1" xfId="1" applyNumberFormat="1" applyFont="1" applyFill="1" applyBorder="1" applyAlignment="1">
      <alignment horizontal="right"/>
    </xf>
    <xf numFmtId="16" fontId="47" fillId="0" borderId="0" xfId="0" applyNumberFormat="1" applyFont="1"/>
    <xf numFmtId="0" fontId="48" fillId="0" borderId="0" xfId="0" applyFont="1" applyAlignment="1">
      <alignment horizontal="center"/>
    </xf>
    <xf numFmtId="2" fontId="47" fillId="0" borderId="0" xfId="0" applyNumberFormat="1" applyFont="1" applyAlignment="1">
      <alignment horizontal="right" indent="2"/>
    </xf>
    <xf numFmtId="170" fontId="47" fillId="0" borderId="0" xfId="0" applyNumberFormat="1" applyFont="1"/>
    <xf numFmtId="43" fontId="47" fillId="0" borderId="0" xfId="1" quotePrefix="1" applyFont="1" applyFill="1" applyBorder="1" applyAlignment="1">
      <alignment horizontal="center"/>
    </xf>
    <xf numFmtId="166" fontId="47" fillId="0" borderId="0" xfId="1" quotePrefix="1" applyNumberFormat="1" applyFont="1" applyFill="1" applyBorder="1" applyAlignment="1">
      <alignment horizontal="center"/>
    </xf>
    <xf numFmtId="43" fontId="47" fillId="0" borderId="0" xfId="1" applyFont="1" applyFill="1" applyBorder="1" applyAlignment="1">
      <alignment horizontal="center"/>
    </xf>
    <xf numFmtId="0" fontId="53" fillId="0" borderId="0" xfId="0" quotePrefix="1" applyFont="1"/>
    <xf numFmtId="0" fontId="47" fillId="0" borderId="0" xfId="0" applyFont="1" applyAlignment="1">
      <alignment horizontal="left"/>
    </xf>
    <xf numFmtId="0" fontId="47" fillId="0" borderId="0" xfId="0" applyFont="1" applyAlignment="1">
      <alignment horizontal="left" indent="1"/>
    </xf>
    <xf numFmtId="0" fontId="47" fillId="0" borderId="3" xfId="0" applyFont="1" applyBorder="1" applyAlignment="1">
      <alignment horizontal="center"/>
    </xf>
    <xf numFmtId="0" fontId="47" fillId="0" borderId="1" xfId="0" applyFont="1" applyBorder="1" applyAlignment="1">
      <alignment horizontal="left"/>
    </xf>
    <xf numFmtId="0" fontId="48" fillId="0" borderId="3" xfId="0" quotePrefix="1" applyFont="1" applyBorder="1"/>
    <xf numFmtId="0" fontId="48" fillId="0" borderId="3" xfId="0" applyFont="1" applyBorder="1"/>
    <xf numFmtId="2" fontId="47" fillId="0" borderId="0" xfId="0" applyNumberFormat="1" applyFont="1" applyAlignment="1">
      <alignment horizontal="center"/>
    </xf>
    <xf numFmtId="43" fontId="47" fillId="0" borderId="0" xfId="0" applyNumberFormat="1" applyFont="1"/>
    <xf numFmtId="0" fontId="42" fillId="0" borderId="0" xfId="0" applyFont="1"/>
    <xf numFmtId="2" fontId="0" fillId="0" borderId="0" xfId="0" applyNumberFormat="1"/>
    <xf numFmtId="165" fontId="47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51" fillId="0" borderId="0" xfId="0" applyFont="1" applyAlignment="1">
      <alignment vertical="center"/>
    </xf>
    <xf numFmtId="168" fontId="47" fillId="0" borderId="0" xfId="0" applyNumberFormat="1" applyFont="1"/>
    <xf numFmtId="2" fontId="47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47" fillId="0" borderId="3" xfId="0" applyFont="1" applyBorder="1"/>
    <xf numFmtId="165" fontId="47" fillId="0" borderId="0" xfId="1" applyNumberFormat="1" applyFont="1" applyFill="1"/>
    <xf numFmtId="37" fontId="47" fillId="0" borderId="0" xfId="1" applyNumberFormat="1" applyFont="1" applyFill="1" applyBorder="1" applyAlignment="1">
      <alignment horizontal="center"/>
    </xf>
    <xf numFmtId="37" fontId="47" fillId="0" borderId="0" xfId="1" applyNumberFormat="1" applyFont="1" applyFill="1" applyBorder="1" applyAlignment="1">
      <alignment horizontal="right" indent="2"/>
    </xf>
    <xf numFmtId="165" fontId="47" fillId="0" borderId="0" xfId="1" applyNumberFormat="1" applyFont="1" applyFill="1" applyBorder="1"/>
    <xf numFmtId="37" fontId="47" fillId="0" borderId="0" xfId="1" applyNumberFormat="1" applyFont="1" applyFill="1" applyBorder="1" applyAlignment="1">
      <alignment horizontal="right" indent="1"/>
    </xf>
    <xf numFmtId="9" fontId="47" fillId="0" borderId="0" xfId="12" applyFont="1" applyFill="1"/>
    <xf numFmtId="1" fontId="47" fillId="0" borderId="0" xfId="0" applyNumberFormat="1" applyFont="1" applyAlignment="1">
      <alignment horizontal="center"/>
    </xf>
    <xf numFmtId="0" fontId="48" fillId="0" borderId="4" xfId="0" applyFont="1" applyBorder="1" applyAlignment="1">
      <alignment horizontal="center"/>
    </xf>
    <xf numFmtId="14" fontId="47" fillId="0" borderId="0" xfId="0" applyNumberFormat="1" applyFont="1" applyAlignment="1">
      <alignment horizontal="right" indent="1"/>
    </xf>
    <xf numFmtId="0" fontId="47" fillId="0" borderId="0" xfId="0" applyFont="1" applyAlignment="1">
      <alignment vertical="center"/>
    </xf>
    <xf numFmtId="0" fontId="47" fillId="0" borderId="0" xfId="0" applyFont="1" applyAlignment="1">
      <alignment vertical="center" wrapText="1"/>
    </xf>
    <xf numFmtId="169" fontId="47" fillId="0" borderId="0" xfId="1" applyNumberFormat="1" applyFont="1" applyFill="1" applyAlignment="1">
      <alignment horizontal="center"/>
    </xf>
    <xf numFmtId="0" fontId="49" fillId="0" borderId="3" xfId="0" applyFont="1" applyBorder="1"/>
    <xf numFmtId="164" fontId="47" fillId="0" borderId="3" xfId="0" applyNumberFormat="1" applyFont="1" applyBorder="1"/>
    <xf numFmtId="171" fontId="0" fillId="0" borderId="0" xfId="1" applyNumberFormat="1" applyFont="1" applyFill="1" applyBorder="1"/>
    <xf numFmtId="0" fontId="38" fillId="0" borderId="0" xfId="8" applyFont="1"/>
    <xf numFmtId="0" fontId="38" fillId="0" borderId="0" xfId="0" applyFont="1"/>
    <xf numFmtId="4" fontId="56" fillId="0" borderId="0" xfId="0" applyNumberFormat="1" applyFont="1"/>
    <xf numFmtId="172" fontId="42" fillId="0" borderId="0" xfId="12" applyNumberFormat="1" applyFont="1" applyFill="1"/>
    <xf numFmtId="4" fontId="0" fillId="0" borderId="0" xfId="0" applyNumberFormat="1"/>
    <xf numFmtId="0" fontId="38" fillId="0" borderId="0" xfId="20"/>
    <xf numFmtId="37" fontId="0" fillId="0" borderId="0" xfId="0" applyNumberFormat="1"/>
    <xf numFmtId="173" fontId="56" fillId="0" borderId="0" xfId="0" applyNumberFormat="1" applyFont="1"/>
    <xf numFmtId="174" fontId="47" fillId="0" borderId="0" xfId="1" applyNumberFormat="1" applyFont="1" applyFill="1" applyBorder="1" applyAlignment="1">
      <alignment horizontal="right" indent="2"/>
    </xf>
    <xf numFmtId="0" fontId="57" fillId="0" borderId="0" xfId="44" applyFont="1" applyAlignment="1">
      <alignment horizontal="center"/>
    </xf>
    <xf numFmtId="164" fontId="47" fillId="2" borderId="0" xfId="1" applyNumberFormat="1" applyFont="1" applyFill="1" applyBorder="1" applyAlignment="1">
      <alignment horizontal="center"/>
    </xf>
    <xf numFmtId="0" fontId="58" fillId="0" borderId="1" xfId="46" applyFont="1" applyBorder="1" applyAlignment="1">
      <alignment horizontal="center" wrapText="1"/>
    </xf>
    <xf numFmtId="0" fontId="57" fillId="0" borderId="0" xfId="46" applyFont="1" applyAlignment="1">
      <alignment horizontal="center"/>
    </xf>
    <xf numFmtId="2" fontId="55" fillId="0" borderId="0" xfId="0" applyNumberFormat="1" applyFont="1" applyAlignment="1">
      <alignment horizontal="center"/>
    </xf>
    <xf numFmtId="37" fontId="47" fillId="0" borderId="0" xfId="0" applyNumberFormat="1" applyFont="1" applyAlignment="1">
      <alignment vertical="center" wrapText="1"/>
    </xf>
    <xf numFmtId="37" fontId="47" fillId="0" borderId="0" xfId="0" applyNumberFormat="1" applyFont="1"/>
    <xf numFmtId="172" fontId="0" fillId="0" borderId="0" xfId="12" applyNumberFormat="1" applyFont="1"/>
    <xf numFmtId="2" fontId="55" fillId="0" borderId="0" xfId="0" applyNumberFormat="1" applyFont="1" applyAlignment="1">
      <alignment horizontal="right" indent="2"/>
    </xf>
    <xf numFmtId="9" fontId="0" fillId="0" borderId="0" xfId="12" applyFont="1"/>
    <xf numFmtId="3" fontId="55" fillId="0" borderId="0" xfId="1" applyNumberFormat="1" applyFont="1" applyFill="1" applyBorder="1" applyAlignment="1">
      <alignment horizontal="right"/>
    </xf>
    <xf numFmtId="3" fontId="38" fillId="0" borderId="0" xfId="0" applyNumberFormat="1" applyFont="1"/>
    <xf numFmtId="3" fontId="47" fillId="0" borderId="0" xfId="1" quotePrefix="1" applyNumberFormat="1" applyFont="1" applyFill="1" applyBorder="1" applyAlignment="1">
      <alignment horizontal="right"/>
    </xf>
    <xf numFmtId="175" fontId="0" fillId="0" borderId="0" xfId="0" applyNumberFormat="1"/>
    <xf numFmtId="176" fontId="0" fillId="0" borderId="0" xfId="0" applyNumberFormat="1"/>
    <xf numFmtId="177" fontId="0" fillId="0" borderId="0" xfId="0" applyNumberFormat="1"/>
    <xf numFmtId="165" fontId="0" fillId="0" borderId="0" xfId="0" applyNumberFormat="1"/>
    <xf numFmtId="169" fontId="47" fillId="0" borderId="0" xfId="1" applyNumberFormat="1" applyFont="1" applyAlignment="1">
      <alignment horizontal="right" indent="1"/>
    </xf>
    <xf numFmtId="167" fontId="47" fillId="0" borderId="0" xfId="0" applyNumberFormat="1" applyFont="1"/>
    <xf numFmtId="169" fontId="55" fillId="0" borderId="0" xfId="1" applyNumberFormat="1" applyFont="1" applyFill="1" applyBorder="1" applyAlignment="1">
      <alignment horizontal="right" indent="1"/>
    </xf>
    <xf numFmtId="0" fontId="60" fillId="0" borderId="0" xfId="0" applyFont="1"/>
    <xf numFmtId="0" fontId="47" fillId="0" borderId="2" xfId="0" applyFont="1" applyBorder="1" applyAlignment="1">
      <alignment horizontal="center"/>
    </xf>
    <xf numFmtId="0" fontId="48" fillId="0" borderId="3" xfId="0" applyFont="1" applyBorder="1" applyAlignment="1">
      <alignment horizontal="center"/>
    </xf>
    <xf numFmtId="169" fontId="47" fillId="0" borderId="0" xfId="1" applyNumberFormat="1" applyFont="1" applyFill="1" applyAlignment="1">
      <alignment horizontal="right" indent="1"/>
    </xf>
    <xf numFmtId="3" fontId="38" fillId="0" borderId="0" xfId="20" applyNumberFormat="1"/>
    <xf numFmtId="0" fontId="0" fillId="0" borderId="0" xfId="20" applyFont="1"/>
    <xf numFmtId="165" fontId="0" fillId="0" borderId="0" xfId="20" applyNumberFormat="1" applyFont="1"/>
    <xf numFmtId="0" fontId="53" fillId="0" borderId="1" xfId="0" applyFont="1" applyBorder="1" applyAlignment="1">
      <alignment wrapText="1"/>
    </xf>
    <xf numFmtId="0" fontId="53" fillId="0" borderId="1" xfId="0" applyFont="1" applyBorder="1"/>
    <xf numFmtId="4" fontId="47" fillId="0" borderId="0" xfId="0" applyNumberFormat="1" applyFont="1"/>
    <xf numFmtId="3" fontId="55" fillId="0" borderId="0" xfId="0" applyNumberFormat="1" applyFont="1"/>
    <xf numFmtId="41" fontId="55" fillId="0" borderId="0" xfId="0" applyNumberFormat="1" applyFont="1"/>
    <xf numFmtId="17" fontId="47" fillId="0" borderId="0" xfId="0" applyNumberFormat="1" applyFont="1" applyAlignment="1">
      <alignment horizontal="left"/>
    </xf>
    <xf numFmtId="165" fontId="47" fillId="0" borderId="0" xfId="1" applyNumberFormat="1" applyFont="1"/>
    <xf numFmtId="165" fontId="0" fillId="0" borderId="0" xfId="74" applyNumberFormat="1" applyFont="1"/>
    <xf numFmtId="14" fontId="4" fillId="0" borderId="0" xfId="75" applyNumberFormat="1"/>
    <xf numFmtId="0" fontId="4" fillId="0" borderId="0" xfId="75"/>
    <xf numFmtId="165" fontId="55" fillId="0" borderId="0" xfId="1" applyNumberFormat="1" applyFont="1" applyFill="1"/>
    <xf numFmtId="172" fontId="47" fillId="0" borderId="0" xfId="12" applyNumberFormat="1" applyFont="1" applyFill="1" applyBorder="1"/>
    <xf numFmtId="37" fontId="47" fillId="0" borderId="0" xfId="1" applyNumberFormat="1" applyFont="1" applyAlignment="1">
      <alignment horizontal="center"/>
    </xf>
    <xf numFmtId="169" fontId="47" fillId="0" borderId="1" xfId="1" applyNumberFormat="1" applyFont="1" applyFill="1" applyBorder="1" applyAlignment="1">
      <alignment horizontal="center"/>
    </xf>
    <xf numFmtId="169" fontId="47" fillId="0" borderId="1" xfId="1" applyNumberFormat="1" applyFont="1" applyFill="1" applyBorder="1" applyAlignment="1">
      <alignment horizontal="right" indent="1"/>
    </xf>
    <xf numFmtId="169" fontId="47" fillId="2" borderId="1" xfId="1" applyNumberFormat="1" applyFont="1" applyFill="1" applyBorder="1" applyAlignment="1">
      <alignment horizontal="center"/>
    </xf>
    <xf numFmtId="169" fontId="47" fillId="2" borderId="1" xfId="1" applyNumberFormat="1" applyFont="1" applyFill="1" applyBorder="1" applyAlignment="1">
      <alignment horizontal="right" indent="2"/>
    </xf>
    <xf numFmtId="169" fontId="47" fillId="2" borderId="1" xfId="1" applyNumberFormat="1" applyFont="1" applyFill="1" applyBorder="1" applyAlignment="1">
      <alignment horizontal="right" indent="1"/>
    </xf>
    <xf numFmtId="2" fontId="47" fillId="0" borderId="1" xfId="0" applyNumberFormat="1" applyFont="1" applyBorder="1" applyAlignment="1">
      <alignment horizontal="right" indent="2"/>
    </xf>
    <xf numFmtId="2" fontId="55" fillId="0" borderId="1" xfId="0" applyNumberFormat="1" applyFont="1" applyBorder="1" applyAlignment="1">
      <alignment horizontal="center"/>
    </xf>
    <xf numFmtId="2" fontId="47" fillId="0" borderId="1" xfId="0" applyNumberFormat="1" applyFont="1" applyBorder="1" applyAlignment="1">
      <alignment horizontal="center"/>
    </xf>
    <xf numFmtId="0" fontId="45" fillId="0" borderId="1" xfId="20" applyFont="1" applyBorder="1" applyAlignment="1">
      <alignment horizontal="centerContinuous"/>
    </xf>
    <xf numFmtId="0" fontId="0" fillId="0" borderId="1" xfId="20" applyFont="1" applyBorder="1" applyAlignment="1">
      <alignment horizontal="centerContinuous"/>
    </xf>
    <xf numFmtId="0" fontId="45" fillId="0" borderId="1" xfId="20" applyFont="1" applyBorder="1" applyAlignment="1">
      <alignment horizontal="center" wrapText="1"/>
    </xf>
    <xf numFmtId="0" fontId="38" fillId="0" borderId="1" xfId="0" applyFont="1" applyBorder="1" applyAlignment="1">
      <alignment wrapText="1"/>
    </xf>
    <xf numFmtId="0" fontId="57" fillId="0" borderId="0" xfId="0" applyFont="1" applyAlignment="1">
      <alignment horizontal="right"/>
    </xf>
    <xf numFmtId="1" fontId="0" fillId="0" borderId="0" xfId="20" applyNumberFormat="1" applyFont="1"/>
    <xf numFmtId="1" fontId="0" fillId="0" borderId="0" xfId="0" applyNumberFormat="1"/>
    <xf numFmtId="178" fontId="0" fillId="0" borderId="0" xfId="0" applyNumberFormat="1"/>
    <xf numFmtId="0" fontId="38" fillId="0" borderId="7" xfId="20" applyBorder="1"/>
    <xf numFmtId="0" fontId="45" fillId="0" borderId="5" xfId="20" applyFont="1" applyBorder="1" applyAlignment="1">
      <alignment horizontal="centerContinuous"/>
    </xf>
    <xf numFmtId="0" fontId="45" fillId="0" borderId="2" xfId="20" applyFont="1" applyBorder="1" applyAlignment="1">
      <alignment horizontal="centerContinuous"/>
    </xf>
    <xf numFmtId="0" fontId="45" fillId="0" borderId="5" xfId="20" applyFont="1" applyBorder="1" applyAlignment="1">
      <alignment horizontal="left" vertical="center"/>
    </xf>
    <xf numFmtId="0" fontId="45" fillId="0" borderId="6" xfId="20" applyFont="1" applyBorder="1" applyAlignment="1">
      <alignment horizontal="centerContinuous"/>
    </xf>
    <xf numFmtId="0" fontId="58" fillId="0" borderId="5" xfId="76" applyFont="1" applyBorder="1" applyAlignment="1">
      <alignment horizontal="left"/>
    </xf>
    <xf numFmtId="0" fontId="58" fillId="0" borderId="1" xfId="76" applyFont="1" applyBorder="1" applyAlignment="1">
      <alignment horizontal="left" wrapText="1"/>
    </xf>
    <xf numFmtId="0" fontId="45" fillId="0" borderId="5" xfId="20" applyFont="1" applyBorder="1" applyAlignment="1">
      <alignment horizontal="left" wrapText="1"/>
    </xf>
    <xf numFmtId="0" fontId="45" fillId="0" borderId="2" xfId="20" applyFont="1" applyBorder="1" applyAlignment="1">
      <alignment horizontal="left" wrapText="1"/>
    </xf>
    <xf numFmtId="0" fontId="45" fillId="0" borderId="6" xfId="20" applyFont="1" applyBorder="1" applyAlignment="1">
      <alignment horizontal="left" wrapText="1"/>
    </xf>
    <xf numFmtId="17" fontId="38" fillId="0" borderId="8" xfId="20" quotePrefix="1" applyNumberFormat="1" applyBorder="1" applyAlignment="1">
      <alignment horizontal="left" vertical="center"/>
    </xf>
    <xf numFmtId="169" fontId="38" fillId="0" borderId="9" xfId="20" applyNumberFormat="1" applyBorder="1"/>
    <xf numFmtId="169" fontId="38" fillId="0" borderId="0" xfId="20" applyNumberFormat="1"/>
    <xf numFmtId="169" fontId="57" fillId="0" borderId="9" xfId="12" applyNumberFormat="1" applyFont="1" applyBorder="1"/>
    <xf numFmtId="169" fontId="38" fillId="0" borderId="0" xfId="12" applyNumberFormat="1" applyFont="1" applyBorder="1"/>
    <xf numFmtId="169" fontId="38" fillId="0" borderId="10" xfId="12" applyNumberFormat="1" applyFont="1" applyBorder="1"/>
    <xf numFmtId="17" fontId="38" fillId="0" borderId="11" xfId="20" quotePrefix="1" applyNumberFormat="1" applyBorder="1" applyAlignment="1">
      <alignment horizontal="left"/>
    </xf>
    <xf numFmtId="17" fontId="38" fillId="0" borderId="3" xfId="20" quotePrefix="1" applyNumberFormat="1" applyBorder="1" applyAlignment="1">
      <alignment horizontal="left"/>
    </xf>
    <xf numFmtId="3" fontId="38" fillId="0" borderId="3" xfId="20" applyNumberFormat="1" applyBorder="1"/>
    <xf numFmtId="0" fontId="38" fillId="0" borderId="0" xfId="20" applyAlignment="1">
      <alignment vertical="center"/>
    </xf>
    <xf numFmtId="17" fontId="38" fillId="0" borderId="0" xfId="20" applyNumberFormat="1" applyAlignment="1">
      <alignment horizontal="left"/>
    </xf>
    <xf numFmtId="2" fontId="38" fillId="0" borderId="0" xfId="20" applyNumberFormat="1"/>
    <xf numFmtId="0" fontId="0" fillId="0" borderId="0" xfId="0" quotePrefix="1"/>
    <xf numFmtId="3" fontId="0" fillId="0" borderId="0" xfId="0" applyNumberFormat="1"/>
    <xf numFmtId="0" fontId="38" fillId="0" borderId="0" xfId="0" quotePrefix="1" applyFont="1"/>
    <xf numFmtId="0" fontId="45" fillId="0" borderId="1" xfId="20" applyFont="1" applyBorder="1"/>
    <xf numFmtId="0" fontId="57" fillId="0" borderId="0" xfId="46" applyFont="1" applyAlignment="1">
      <alignment horizontal="center" wrapText="1"/>
    </xf>
    <xf numFmtId="37" fontId="59" fillId="0" borderId="0" xfId="1" applyNumberFormat="1" applyFont="1" applyFill="1"/>
    <xf numFmtId="169" fontId="38" fillId="0" borderId="12" xfId="20" applyNumberFormat="1" applyBorder="1"/>
    <xf numFmtId="169" fontId="38" fillId="0" borderId="1" xfId="20" applyNumberFormat="1" applyBorder="1"/>
    <xf numFmtId="169" fontId="38" fillId="0" borderId="13" xfId="20" applyNumberFormat="1" applyBorder="1"/>
    <xf numFmtId="43" fontId="47" fillId="0" borderId="1" xfId="1" applyFont="1" applyFill="1" applyBorder="1" applyAlignment="1">
      <alignment horizontal="center"/>
    </xf>
    <xf numFmtId="167" fontId="47" fillId="0" borderId="0" xfId="0" applyNumberFormat="1" applyFont="1" applyAlignment="1">
      <alignment vertical="center"/>
    </xf>
    <xf numFmtId="0" fontId="1" fillId="0" borderId="0" xfId="75" applyFont="1"/>
    <xf numFmtId="2" fontId="4" fillId="0" borderId="0" xfId="75" applyNumberFormat="1"/>
    <xf numFmtId="167" fontId="4" fillId="0" borderId="0" xfId="75" applyNumberFormat="1"/>
    <xf numFmtId="2" fontId="3" fillId="0" borderId="0" xfId="75" applyNumberFormat="1" applyFont="1"/>
    <xf numFmtId="3" fontId="2" fillId="0" borderId="0" xfId="0" applyNumberFormat="1" applyFont="1"/>
    <xf numFmtId="39" fontId="59" fillId="0" borderId="0" xfId="1" applyNumberFormat="1" applyFont="1" applyFill="1" applyBorder="1" applyAlignment="1">
      <alignment horizontal="right"/>
    </xf>
    <xf numFmtId="0" fontId="45" fillId="0" borderId="1" xfId="0" applyFont="1" applyBorder="1"/>
    <xf numFmtId="0" fontId="45" fillId="0" borderId="1" xfId="0" applyFont="1" applyBorder="1" applyAlignment="1">
      <alignment horizontal="center"/>
    </xf>
    <xf numFmtId="0" fontId="61" fillId="0" borderId="1" xfId="0" applyFont="1" applyBorder="1" applyAlignment="1">
      <alignment horizontal="center"/>
    </xf>
    <xf numFmtId="1" fontId="4" fillId="0" borderId="0" xfId="75" applyNumberFormat="1"/>
    <xf numFmtId="1" fontId="3" fillId="0" borderId="0" xfId="75" applyNumberFormat="1" applyFont="1"/>
    <xf numFmtId="0" fontId="61" fillId="0" borderId="1" xfId="75" applyFont="1" applyBorder="1"/>
    <xf numFmtId="165" fontId="59" fillId="0" borderId="0" xfId="1" applyNumberFormat="1" applyFont="1" applyFill="1"/>
    <xf numFmtId="2" fontId="55" fillId="0" borderId="1" xfId="0" applyNumberFormat="1" applyFont="1" applyBorder="1" applyAlignment="1">
      <alignment horizontal="right" indent="2"/>
    </xf>
    <xf numFmtId="165" fontId="55" fillId="0" borderId="0" xfId="1" applyNumberFormat="1" applyFont="1" applyFill="1" applyAlignment="1">
      <alignment horizontal="center"/>
    </xf>
    <xf numFmtId="172" fontId="0" fillId="0" borderId="0" xfId="12" applyNumberFormat="1" applyFont="1" applyFill="1"/>
    <xf numFmtId="10" fontId="0" fillId="0" borderId="0" xfId="12" applyNumberFormat="1" applyFont="1" applyFill="1"/>
    <xf numFmtId="167" fontId="55" fillId="0" borderId="1" xfId="0" applyNumberFormat="1" applyFont="1" applyBorder="1" applyAlignment="1">
      <alignment horizontal="right"/>
    </xf>
    <xf numFmtId="37" fontId="47" fillId="0" borderId="1" xfId="1" applyNumberFormat="1" applyFont="1" applyFill="1" applyBorder="1" applyAlignment="1">
      <alignment horizontal="center"/>
    </xf>
    <xf numFmtId="37" fontId="47" fillId="0" borderId="1" xfId="1" applyNumberFormat="1" applyFont="1" applyFill="1" applyBorder="1" applyAlignment="1">
      <alignment horizontal="right" indent="2"/>
    </xf>
    <xf numFmtId="165" fontId="47" fillId="0" borderId="1" xfId="1" applyNumberFormat="1" applyFont="1" applyFill="1" applyBorder="1"/>
    <xf numFmtId="37" fontId="47" fillId="0" borderId="1" xfId="1" applyNumberFormat="1" applyFont="1" applyFill="1" applyBorder="1" applyAlignment="1">
      <alignment horizontal="right" indent="1"/>
    </xf>
    <xf numFmtId="1" fontId="47" fillId="0" borderId="1" xfId="0" applyNumberFormat="1" applyFont="1" applyBorder="1" applyAlignment="1">
      <alignment horizontal="center"/>
    </xf>
    <xf numFmtId="2" fontId="55" fillId="2" borderId="0" xfId="0" applyNumberFormat="1" applyFont="1" applyFill="1" applyAlignment="1">
      <alignment horizontal="right" indent="2"/>
    </xf>
    <xf numFmtId="0" fontId="47" fillId="2" borderId="0" xfId="0" applyFont="1" applyFill="1"/>
    <xf numFmtId="2" fontId="47" fillId="2" borderId="0" xfId="0" applyNumberFormat="1" applyFont="1" applyFill="1" applyAlignment="1">
      <alignment horizontal="right" indent="2"/>
    </xf>
    <xf numFmtId="0" fontId="0" fillId="2" borderId="0" xfId="0" applyFill="1"/>
    <xf numFmtId="3" fontId="47" fillId="0" borderId="3" xfId="1" applyNumberFormat="1" applyFont="1" applyFill="1" applyBorder="1" applyAlignment="1">
      <alignment horizontal="right" indent="1"/>
    </xf>
    <xf numFmtId="2" fontId="0" fillId="2" borderId="0" xfId="0" applyNumberFormat="1" applyFill="1"/>
    <xf numFmtId="164" fontId="55" fillId="0" borderId="0" xfId="1" applyNumberFormat="1" applyFont="1"/>
    <xf numFmtId="0" fontId="47" fillId="0" borderId="2" xfId="0" applyFont="1" applyBorder="1" applyAlignment="1">
      <alignment horizontal="center"/>
    </xf>
    <xf numFmtId="0" fontId="48" fillId="0" borderId="3" xfId="0" applyFont="1" applyBorder="1" applyAlignment="1">
      <alignment horizontal="center"/>
    </xf>
    <xf numFmtId="0" fontId="48" fillId="0" borderId="2" xfId="0" quotePrefix="1" applyFont="1" applyBorder="1" applyAlignment="1">
      <alignment horizontal="center"/>
    </xf>
    <xf numFmtId="0" fontId="48" fillId="0" borderId="3" xfId="0" quotePrefix="1" applyFont="1" applyBorder="1" applyAlignment="1">
      <alignment horizontal="center"/>
    </xf>
    <xf numFmtId="0" fontId="48" fillId="0" borderId="5" xfId="0" quotePrefix="1" applyFont="1" applyBorder="1" applyAlignment="1">
      <alignment horizontal="center"/>
    </xf>
    <xf numFmtId="0" fontId="48" fillId="0" borderId="6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5" xfId="0" applyFont="1" applyBorder="1" applyAlignment="1">
      <alignment horizontal="center"/>
    </xf>
  </cellXfs>
  <cellStyles count="77">
    <cellStyle name="Comma" xfId="1" builtinId="3"/>
    <cellStyle name="Comma 19" xfId="38" xr:uid="{DDCE393F-1348-4189-A747-6A37252868C8}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omma 6" xfId="74" xr:uid="{5AE75EFE-983D-4415-ABF1-C4602BF3FD8A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0 2" xfId="60" xr:uid="{E126FF74-8F35-46C0-B499-BB9FB7C0492D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13" xfId="72" xr:uid="{D8E7C54E-9648-4EBA-A6E5-9F8B28FE758E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3" xfId="32" xr:uid="{5440E113-77DF-4DAD-9026-4858CCB03DB9}"/>
    <cellStyle name="Normal 11 3 2" xfId="43" xr:uid="{8321DB1C-E877-443D-8A22-A2E591665B83}"/>
    <cellStyle name="Normal 11 3 2 2" xfId="76" xr:uid="{0E6AB9D7-72A7-4FF5-A7F1-271F29BBDBD3}"/>
    <cellStyle name="Normal 11 3 3" xfId="65" xr:uid="{4E905B9F-EF70-4EAF-9DFC-D3D7C0096B62}"/>
    <cellStyle name="Normal 11 4" xfId="34" xr:uid="{A40234E1-3048-4174-AD15-1523030C134E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4" xfId="46" xr:uid="{8BEB9B88-2ECA-4F90-BDBA-C56B823B5754}"/>
    <cellStyle name="Normal 11 6 5" xfId="73" xr:uid="{5081E91F-DB7D-4380-8B4D-4A87175D4BD0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12" xfId="75" xr:uid="{35957245-A0B2-4B95-BCE2-DFC85ECCD621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3" xfId="52" xr:uid="{61D29457-DAC5-44A6-B4DB-3F6E4FD534E7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9" xfId="25" xr:uid="{AF562AB2-2E7D-4C04-814F-6AC30A92CE3A}"/>
    <cellStyle name="Normal 9 2" xfId="58" xr:uid="{9E080DFC-9773-4552-A43C-01793D50B659}"/>
    <cellStyle name="Percent" xfId="12" builtinId="5"/>
  </cellStyles>
  <dxfs count="0"/>
  <tableStyles count="0" defaultTableStyle="TableStyleMedium9" defaultPivotStyle="PivotStyleLight16"/>
  <colors>
    <mruColors>
      <color rgb="FFFF9933"/>
      <color rgb="FFFFFF99"/>
      <color rgb="FF0000FF"/>
      <color rgb="FFFFCC66"/>
      <color rgb="FFFFFF00"/>
      <color rgb="FFFA6400"/>
      <color rgb="FF00B050"/>
      <color rgb="FFC0502F"/>
      <color rgb="FFFFCF01"/>
      <color rgb="FF9848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1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Brazilian soybean production and yield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344368743066129E-2"/>
          <c:y val="0.18675746861693129"/>
          <c:w val="0.87169369428466303"/>
          <c:h val="0.52311511126081855"/>
        </c:manualLayout>
      </c:layout>
      <c:areaChart>
        <c:grouping val="stacked"/>
        <c:varyColors val="0"/>
        <c:ser>
          <c:idx val="5"/>
          <c:order val="1"/>
          <c:tx>
            <c:strRef>
              <c:f>'Figure 1'!$B$1</c:f>
              <c:strCache>
                <c:ptCount val="1"/>
                <c:pt idx="0">
                  <c:v>Area harvested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cat>
            <c:strRef>
              <c:f>'Figure 1'!$A$2:$A$13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 Nov*</c:v>
                </c:pt>
                <c:pt idx="11">
                  <c:v>2023/24 Dec*</c:v>
                </c:pt>
              </c:strCache>
            </c:strRef>
          </c:cat>
          <c:val>
            <c:numRef>
              <c:f>'Figure 1'!$B$2:$B$13</c:f>
              <c:numCache>
                <c:formatCode>General</c:formatCode>
                <c:ptCount val="12"/>
                <c:pt idx="0">
                  <c:v>30.1</c:v>
                </c:pt>
                <c:pt idx="1">
                  <c:v>32.1</c:v>
                </c:pt>
                <c:pt idx="2">
                  <c:v>33.299999999999997</c:v>
                </c:pt>
                <c:pt idx="3">
                  <c:v>33.9</c:v>
                </c:pt>
                <c:pt idx="4" formatCode="0.0">
                  <c:v>35.15</c:v>
                </c:pt>
                <c:pt idx="5">
                  <c:v>35.9</c:v>
                </c:pt>
                <c:pt idx="6">
                  <c:v>36.9</c:v>
                </c:pt>
                <c:pt idx="7">
                  <c:v>39.5</c:v>
                </c:pt>
                <c:pt idx="8">
                  <c:v>41.6</c:v>
                </c:pt>
                <c:pt idx="9">
                  <c:v>44.3</c:v>
                </c:pt>
                <c:pt idx="10">
                  <c:v>45.6</c:v>
                </c:pt>
                <c:pt idx="11">
                  <c:v>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62-42E1-9815-E0FD1DAE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455439"/>
        <c:axId val="1284457935"/>
      </c:areaChart>
      <c:barChart>
        <c:barDir val="col"/>
        <c:grouping val="clustered"/>
        <c:varyColors val="0"/>
        <c:ser>
          <c:idx val="1"/>
          <c:order val="0"/>
          <c:tx>
            <c:strRef>
              <c:f>'Figure 1'!$D$1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1'!$A$2:$A$13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 Nov*</c:v>
                </c:pt>
                <c:pt idx="11">
                  <c:v>2023/24 Dec*</c:v>
                </c:pt>
              </c:strCache>
            </c:strRef>
          </c:cat>
          <c:val>
            <c:numRef>
              <c:f>'Figure 1'!$D$2:$D$13</c:f>
              <c:numCache>
                <c:formatCode>_(* #,##0_);_(* \(#,##0\);_(* "-"??_);_(@_)</c:formatCode>
                <c:ptCount val="12"/>
                <c:pt idx="0">
                  <c:v>86.2</c:v>
                </c:pt>
                <c:pt idx="1">
                  <c:v>97.1</c:v>
                </c:pt>
                <c:pt idx="2">
                  <c:v>95.7</c:v>
                </c:pt>
                <c:pt idx="3">
                  <c:v>114.9</c:v>
                </c:pt>
                <c:pt idx="4">
                  <c:v>123.4</c:v>
                </c:pt>
                <c:pt idx="5">
                  <c:v>120.5</c:v>
                </c:pt>
                <c:pt idx="6">
                  <c:v>128.5</c:v>
                </c:pt>
                <c:pt idx="7">
                  <c:v>139.5</c:v>
                </c:pt>
                <c:pt idx="8">
                  <c:v>130.5</c:v>
                </c:pt>
                <c:pt idx="9">
                  <c:v>160</c:v>
                </c:pt>
                <c:pt idx="10">
                  <c:v>163</c:v>
                </c:pt>
                <c:pt idx="11" formatCode="_(* #,##0_);_(* \(#,##0\);_(* &quot;-&quot;_);_(@_)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2-42E1-9815-E0FD1DAE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lineChart>
        <c:grouping val="standard"/>
        <c:varyColors val="0"/>
        <c:ser>
          <c:idx val="0"/>
          <c:order val="2"/>
          <c:tx>
            <c:strRef>
              <c:f>'Figure 1'!$C$1</c:f>
              <c:strCache>
                <c:ptCount val="1"/>
                <c:pt idx="0">
                  <c:v>Yield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1'!$C$2:$C$13</c:f>
              <c:numCache>
                <c:formatCode>#,##0.00</c:formatCode>
                <c:ptCount val="12"/>
                <c:pt idx="0">
                  <c:v>2.8637873754152823</c:v>
                </c:pt>
                <c:pt idx="1">
                  <c:v>3.0249221183800619</c:v>
                </c:pt>
                <c:pt idx="2">
                  <c:v>2.8738738738738743</c:v>
                </c:pt>
                <c:pt idx="3">
                  <c:v>3.3893805309734515</c:v>
                </c:pt>
                <c:pt idx="4">
                  <c:v>3.5106685633001424</c:v>
                </c:pt>
                <c:pt idx="5">
                  <c:v>3.3565459610027855</c:v>
                </c:pt>
                <c:pt idx="6">
                  <c:v>3.4823848238482387</c:v>
                </c:pt>
                <c:pt idx="7">
                  <c:v>3.5316455696202533</c:v>
                </c:pt>
                <c:pt idx="8">
                  <c:v>3.1370192307692308</c:v>
                </c:pt>
                <c:pt idx="9">
                  <c:v>3.6117381489841991</c:v>
                </c:pt>
                <c:pt idx="10">
                  <c:v>3.5745614035087718</c:v>
                </c:pt>
                <c:pt idx="11">
                  <c:v>3.5307017543859649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2-4EA2-B1FA-58915D31D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218239"/>
        <c:axId val="1270774128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year</a:t>
                </a:r>
                <a:endPara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7034735510837694"/>
              <c:y val="0.822053687654976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tons/</a:t>
                </a:r>
              </a:p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hectare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9.7647871439097682E-3"/>
              <c:y val="9.97170347478932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valAx>
        <c:axId val="127077412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Tons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per hectare</a:t>
                </a:r>
                <a:endPara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8441241246708262"/>
              <c:y val="0.105121439858602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218239"/>
        <c:crosses val="max"/>
        <c:crossBetween val="between"/>
      </c:valAx>
      <c:catAx>
        <c:axId val="1578218239"/>
        <c:scaling>
          <c:orientation val="minMax"/>
        </c:scaling>
        <c:delete val="1"/>
        <c:axPos val="b"/>
        <c:majorTickMark val="out"/>
        <c:minorTickMark val="none"/>
        <c:tickLblPos val="nextTo"/>
        <c:crossAx val="1270774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611145912980998"/>
          <c:y val="0.16186615517877506"/>
          <c:w val="0.48888104459954779"/>
          <c:h val="5.05799139617832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2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>
                <a:effectLst/>
              </a:rPr>
              <a:t>U.S.</a:t>
            </a:r>
            <a:r>
              <a:rPr lang="en-US" sz="1050" baseline="0">
                <a:effectLst/>
              </a:rPr>
              <a:t> soybean meal prices, Decatur, Illinois 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3.6361800928730067E-3"/>
          <c:y val="6.289318001916427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726366548589479E-2"/>
          <c:y val="0.23931915869201215"/>
          <c:w val="0.89560169854816707"/>
          <c:h val="0.49619978441921281"/>
        </c:manualLayout>
      </c:layout>
      <c:lineChart>
        <c:grouping val="standard"/>
        <c:varyColors val="0"/>
        <c:ser>
          <c:idx val="2"/>
          <c:order val="0"/>
          <c:tx>
            <c:strRef>
              <c:f>'Figure 2'!$B$1</c:f>
              <c:strCache>
                <c:ptCount val="1"/>
                <c:pt idx="0">
                  <c:v>2020/21</c:v>
                </c:pt>
              </c:strCache>
            </c:strRef>
          </c:tx>
          <c:marker>
            <c:symbol val="square"/>
            <c:size val="5"/>
          </c:marker>
          <c:cat>
            <c:strRef>
              <c:f>'Figure 2'!$A$2:$A$13</c:f>
              <c:strCache>
                <c:ptCount val="12"/>
                <c:pt idx="0">
                  <c:v>Oct.</c:v>
                </c:pt>
                <c:pt idx="1">
                  <c:v>Nov.</c:v>
                </c:pt>
                <c:pt idx="2">
                  <c:v>Dec.</c:v>
                </c:pt>
                <c:pt idx="3">
                  <c:v>Jan.</c:v>
                </c:pt>
                <c:pt idx="4">
                  <c:v>Feb.</c:v>
                </c:pt>
                <c:pt idx="5">
                  <c:v>Mar.</c:v>
                </c:pt>
                <c:pt idx="6">
                  <c:v>Apr.</c:v>
                </c:pt>
                <c:pt idx="7">
                  <c:v>May</c:v>
                </c:pt>
                <c:pt idx="8">
                  <c:v>Jun.</c:v>
                </c:pt>
                <c:pt idx="9">
                  <c:v>July</c:v>
                </c:pt>
                <c:pt idx="10">
                  <c:v>Aug.</c:v>
                </c:pt>
                <c:pt idx="11">
                  <c:v>Sep.</c:v>
                </c:pt>
              </c:strCache>
            </c:strRef>
          </c:cat>
          <c:val>
            <c:numRef>
              <c:f>'Figure 2'!$B$2:$B$13</c:f>
              <c:numCache>
                <c:formatCode>0</c:formatCode>
                <c:ptCount val="12"/>
                <c:pt idx="0">
                  <c:v>367.11</c:v>
                </c:pt>
                <c:pt idx="1">
                  <c:v>387.83</c:v>
                </c:pt>
                <c:pt idx="2">
                  <c:v>396.68</c:v>
                </c:pt>
                <c:pt idx="3">
                  <c:v>439.24</c:v>
                </c:pt>
                <c:pt idx="4">
                  <c:v>427.28</c:v>
                </c:pt>
                <c:pt idx="5">
                  <c:v>410.02</c:v>
                </c:pt>
                <c:pt idx="6">
                  <c:v>413.36</c:v>
                </c:pt>
                <c:pt idx="7">
                  <c:v>421.03</c:v>
                </c:pt>
                <c:pt idx="8">
                  <c:v>378.18</c:v>
                </c:pt>
                <c:pt idx="9">
                  <c:v>365.23</c:v>
                </c:pt>
                <c:pt idx="10">
                  <c:v>358.21</c:v>
                </c:pt>
                <c:pt idx="11">
                  <c:v>343.55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C-40DD-B01C-9ACE85FB6F8C}"/>
            </c:ext>
          </c:extLst>
        </c:ser>
        <c:ser>
          <c:idx val="3"/>
          <c:order val="1"/>
          <c:tx>
            <c:strRef>
              <c:f>'Figure 2'!$C$1</c:f>
              <c:strCache>
                <c:ptCount val="1"/>
                <c:pt idx="0">
                  <c:v>2021/22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'Figure 2'!$A$2:$A$13</c:f>
              <c:strCache>
                <c:ptCount val="12"/>
                <c:pt idx="0">
                  <c:v>Oct.</c:v>
                </c:pt>
                <c:pt idx="1">
                  <c:v>Nov.</c:v>
                </c:pt>
                <c:pt idx="2">
                  <c:v>Dec.</c:v>
                </c:pt>
                <c:pt idx="3">
                  <c:v>Jan.</c:v>
                </c:pt>
                <c:pt idx="4">
                  <c:v>Feb.</c:v>
                </c:pt>
                <c:pt idx="5">
                  <c:v>Mar.</c:v>
                </c:pt>
                <c:pt idx="6">
                  <c:v>Apr.</c:v>
                </c:pt>
                <c:pt idx="7">
                  <c:v>May</c:v>
                </c:pt>
                <c:pt idx="8">
                  <c:v>Jun.</c:v>
                </c:pt>
                <c:pt idx="9">
                  <c:v>July</c:v>
                </c:pt>
                <c:pt idx="10">
                  <c:v>Aug.</c:v>
                </c:pt>
                <c:pt idx="11">
                  <c:v>Sep.</c:v>
                </c:pt>
              </c:strCache>
            </c:strRef>
          </c:cat>
          <c:val>
            <c:numRef>
              <c:f>'Figure 2'!$C$2:$C$13</c:f>
              <c:numCache>
                <c:formatCode>0</c:formatCode>
                <c:ptCount val="12"/>
                <c:pt idx="0">
                  <c:v>325.43</c:v>
                </c:pt>
                <c:pt idx="1">
                  <c:v>358.73</c:v>
                </c:pt>
                <c:pt idx="2">
                  <c:v>399.53</c:v>
                </c:pt>
                <c:pt idx="3">
                  <c:v>421.21</c:v>
                </c:pt>
                <c:pt idx="4">
                  <c:v>460.45</c:v>
                </c:pt>
                <c:pt idx="5">
                  <c:v>493.97500000000002</c:v>
                </c:pt>
                <c:pt idx="6">
                  <c:v>475.35999999999996</c:v>
                </c:pt>
                <c:pt idx="7">
                  <c:v>441.27499999999998</c:v>
                </c:pt>
                <c:pt idx="8">
                  <c:v>445.92499999999995</c:v>
                </c:pt>
                <c:pt idx="9">
                  <c:v>467.87</c:v>
                </c:pt>
                <c:pt idx="10">
                  <c:v>510.90000000000009</c:v>
                </c:pt>
                <c:pt idx="11">
                  <c:v>473.93999999999994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5C-40DD-B01C-9ACE85FB6F8C}"/>
            </c:ext>
          </c:extLst>
        </c:ser>
        <c:ser>
          <c:idx val="4"/>
          <c:order val="2"/>
          <c:tx>
            <c:strRef>
              <c:f>'Figure 2'!$D$1</c:f>
              <c:strCache>
                <c:ptCount val="1"/>
                <c:pt idx="0">
                  <c:v>2022/23</c:v>
                </c:pt>
              </c:strCache>
            </c:strRef>
          </c:tx>
          <c:spPr>
            <a:ln>
              <a:solidFill>
                <a:schemeClr val="accent5">
                  <a:shade val="76000"/>
                  <a:shade val="95000"/>
                  <a:satMod val="105000"/>
                </a:schemeClr>
              </a:solidFill>
            </a:ln>
          </c:spPr>
          <c:marker>
            <c:symbol val="diamond"/>
            <c:size val="5"/>
            <c:spPr>
              <a:ln cap="rnd"/>
            </c:spPr>
          </c:marker>
          <c:dPt>
            <c:idx val="10"/>
            <c:bubble3D val="0"/>
            <c:spPr>
              <a:ln>
                <a:solidFill>
                  <a:schemeClr val="accent5">
                    <a:shade val="76000"/>
                    <a:shade val="95000"/>
                    <a:satMod val="10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75C-40DD-B01C-9ACE85FB6F8C}"/>
              </c:ext>
            </c:extLst>
          </c:dPt>
          <c:dPt>
            <c:idx val="11"/>
            <c:bubble3D val="0"/>
            <c:spPr>
              <a:ln>
                <a:solidFill>
                  <a:schemeClr val="accent5">
                    <a:shade val="76000"/>
                    <a:shade val="95000"/>
                    <a:satMod val="10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75C-40DD-B01C-9ACE85FB6F8C}"/>
              </c:ext>
            </c:extLst>
          </c:dPt>
          <c:cat>
            <c:strRef>
              <c:f>'Figure 2'!$A$2:$A$13</c:f>
              <c:strCache>
                <c:ptCount val="12"/>
                <c:pt idx="0">
                  <c:v>Oct.</c:v>
                </c:pt>
                <c:pt idx="1">
                  <c:v>Nov.</c:v>
                </c:pt>
                <c:pt idx="2">
                  <c:v>Dec.</c:v>
                </c:pt>
                <c:pt idx="3">
                  <c:v>Jan.</c:v>
                </c:pt>
                <c:pt idx="4">
                  <c:v>Feb.</c:v>
                </c:pt>
                <c:pt idx="5">
                  <c:v>Mar.</c:v>
                </c:pt>
                <c:pt idx="6">
                  <c:v>Apr.</c:v>
                </c:pt>
                <c:pt idx="7">
                  <c:v>May</c:v>
                </c:pt>
                <c:pt idx="8">
                  <c:v>Jun.</c:v>
                </c:pt>
                <c:pt idx="9">
                  <c:v>July</c:v>
                </c:pt>
                <c:pt idx="10">
                  <c:v>Aug.</c:v>
                </c:pt>
                <c:pt idx="11">
                  <c:v>Sep.</c:v>
                </c:pt>
              </c:strCache>
            </c:strRef>
          </c:cat>
          <c:val>
            <c:numRef>
              <c:f>'Figure 2'!$D$2:$D$13</c:f>
              <c:numCache>
                <c:formatCode>0</c:formatCode>
                <c:ptCount val="12"/>
                <c:pt idx="0">
                  <c:v>468.67499999999995</c:v>
                </c:pt>
                <c:pt idx="1">
                  <c:v>436.74999999999994</c:v>
                </c:pt>
                <c:pt idx="2">
                  <c:v>462.85</c:v>
                </c:pt>
                <c:pt idx="3">
                  <c:v>482.40000000000003</c:v>
                </c:pt>
                <c:pt idx="4">
                  <c:v>500.52499999999998</c:v>
                </c:pt>
                <c:pt idx="5">
                  <c:v>484.4</c:v>
                </c:pt>
                <c:pt idx="6">
                  <c:v>457.25</c:v>
                </c:pt>
                <c:pt idx="7">
                  <c:v>423.57499999999999</c:v>
                </c:pt>
                <c:pt idx="8">
                  <c:v>413.46000000000004</c:v>
                </c:pt>
                <c:pt idx="9">
                  <c:v>443.15</c:v>
                </c:pt>
                <c:pt idx="10">
                  <c:v>438.8</c:v>
                </c:pt>
                <c:pt idx="11">
                  <c:v>411.07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5C-40DD-B01C-9ACE85FB6F8C}"/>
            </c:ext>
          </c:extLst>
        </c:ser>
        <c:ser>
          <c:idx val="5"/>
          <c:order val="3"/>
          <c:tx>
            <c:strRef>
              <c:f>'Figure 2'!$E$1</c:f>
              <c:strCache>
                <c:ptCount val="1"/>
                <c:pt idx="0">
                  <c:v>2023/24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'Figure 2'!$A$2:$A$13</c:f>
              <c:strCache>
                <c:ptCount val="12"/>
                <c:pt idx="0">
                  <c:v>Oct.</c:v>
                </c:pt>
                <c:pt idx="1">
                  <c:v>Nov.</c:v>
                </c:pt>
                <c:pt idx="2">
                  <c:v>Dec.</c:v>
                </c:pt>
                <c:pt idx="3">
                  <c:v>Jan.</c:v>
                </c:pt>
                <c:pt idx="4">
                  <c:v>Feb.</c:v>
                </c:pt>
                <c:pt idx="5">
                  <c:v>Mar.</c:v>
                </c:pt>
                <c:pt idx="6">
                  <c:v>Apr.</c:v>
                </c:pt>
                <c:pt idx="7">
                  <c:v>May</c:v>
                </c:pt>
                <c:pt idx="8">
                  <c:v>Jun.</c:v>
                </c:pt>
                <c:pt idx="9">
                  <c:v>July</c:v>
                </c:pt>
                <c:pt idx="10">
                  <c:v>Aug.</c:v>
                </c:pt>
                <c:pt idx="11">
                  <c:v>Sep.</c:v>
                </c:pt>
              </c:strCache>
            </c:strRef>
          </c:cat>
          <c:val>
            <c:numRef>
              <c:f>'Figure 2'!$E$2:$E$13</c:f>
              <c:numCache>
                <c:formatCode>0</c:formatCode>
                <c:ptCount val="12"/>
                <c:pt idx="0">
                  <c:v>416.16</c:v>
                </c:pt>
                <c:pt idx="1">
                  <c:v>464.27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5C-40DD-B01C-9ACE85FB6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Month</a:t>
                </a:r>
              </a:p>
            </c:rich>
          </c:tx>
          <c:layout>
            <c:manualLayout>
              <c:xMode val="edge"/>
              <c:yMode val="edge"/>
              <c:x val="0.46962565176869731"/>
              <c:y val="0.827741292050444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tickMarkSkip val="1"/>
        <c:noMultiLvlLbl val="0"/>
      </c:catAx>
      <c:valAx>
        <c:axId val="667170632"/>
        <c:scaling>
          <c:orientation val="minMax"/>
          <c:min val="2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Dollars</a:t>
                </a:r>
                <a:r>
                  <a:rPr lang="en-US" sz="900" baseline="0"/>
                  <a:t> per short ton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8.1457655807230748E-3"/>
              <c:y val="0.159795775946066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251803051839151"/>
          <c:y val="0.14573460395040902"/>
          <c:w val="0.56687630385812049"/>
          <c:h val="4.8331901694106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1</a:t>
            </a:r>
          </a:p>
          <a:p>
            <a:pPr algn="l">
              <a:defRPr sz="1050" b="1"/>
            </a:pPr>
            <a:endParaRPr lang="en-US" sz="100" b="0" i="0" u="none" strike="noStrike" baseline="0">
              <a:effectLst/>
            </a:endParaRPr>
          </a:p>
          <a:p>
            <a:pPr algn="l">
              <a:defRPr sz="1050" b="1"/>
            </a:pPr>
            <a:r>
              <a:rPr lang="en-US" sz="1050" b="1" i="0" u="none" strike="noStrike" baseline="0">
                <a:effectLst/>
              </a:rPr>
              <a:t>Biomass-based diesel production and vegetable oils use, MY 2014/15–2022/23</a:t>
            </a:r>
            <a:endParaRPr lang="en-US" sz="1050" b="1"/>
          </a:p>
        </c:rich>
      </c:tx>
      <c:layout>
        <c:manualLayout>
          <c:xMode val="edge"/>
          <c:yMode val="edge"/>
          <c:x val="3.3974743837131447E-3"/>
          <c:y val="9.531332094459979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730922069027948E-2"/>
          <c:y val="0.25029402672628304"/>
          <c:w val="0.88296976971580865"/>
          <c:h val="0.43519763791281574"/>
        </c:manualLayout>
      </c:layout>
      <c:areaChart>
        <c:grouping val="stacked"/>
        <c:varyColors val="0"/>
        <c:ser>
          <c:idx val="1"/>
          <c:order val="0"/>
          <c:tx>
            <c:strRef>
              <c:f>Figure1sa!$B$2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strRef>
              <c:f>Figure1sa!$A$3:$A$11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Figure1sa!$B$3:$B$11</c:f>
              <c:numCache>
                <c:formatCode>#,##0.0</c:formatCode>
                <c:ptCount val="9"/>
                <c:pt idx="0">
                  <c:v>1.2998209999999997</c:v>
                </c:pt>
                <c:pt idx="1">
                  <c:v>1.4569419999999995</c:v>
                </c:pt>
                <c:pt idx="2">
                  <c:v>1.583661</c:v>
                </c:pt>
                <c:pt idx="3">
                  <c:v>1.8015509999999997</c:v>
                </c:pt>
                <c:pt idx="4">
                  <c:v>1.8187099999999998</c:v>
                </c:pt>
                <c:pt idx="5">
                  <c:v>1.743117</c:v>
                </c:pt>
                <c:pt idx="6">
                  <c:v>1.667287</c:v>
                </c:pt>
                <c:pt idx="7">
                  <c:v>1.6428390000000004</c:v>
                </c:pt>
                <c:pt idx="8">
                  <c:v>1.7014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E-41EB-8CC8-99EDA88A4EFC}"/>
            </c:ext>
          </c:extLst>
        </c:ser>
        <c:ser>
          <c:idx val="0"/>
          <c:order val="1"/>
          <c:tx>
            <c:strRef>
              <c:f>Figure1sa!$C$2</c:f>
              <c:strCache>
                <c:ptCount val="1"/>
                <c:pt idx="0">
                  <c:v>Renewable diesel fuel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Figure1sa!$A$3:$A$11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Figure1sa!$C$3:$C$11</c:f>
              <c:numCache>
                <c:formatCode>#,##0.0</c:formatCode>
                <c:ptCount val="9"/>
                <c:pt idx="0">
                  <c:v>0.19147299999999998</c:v>
                </c:pt>
                <c:pt idx="1">
                  <c:v>0.20571900000000001</c:v>
                </c:pt>
                <c:pt idx="2">
                  <c:v>0.25945299999999999</c:v>
                </c:pt>
                <c:pt idx="3">
                  <c:v>0.25287200000000004</c:v>
                </c:pt>
                <c:pt idx="4">
                  <c:v>0.47491600000000006</c:v>
                </c:pt>
                <c:pt idx="5">
                  <c:v>0.54515699999999989</c:v>
                </c:pt>
                <c:pt idx="6">
                  <c:v>0.65309200000000012</c:v>
                </c:pt>
                <c:pt idx="7">
                  <c:v>1.3600460000000001</c:v>
                </c:pt>
                <c:pt idx="8">
                  <c:v>2.2850000000000001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E-41EB-8CC8-99EDA88A4EFC}"/>
            </c:ext>
          </c:extLst>
        </c:ser>
        <c:ser>
          <c:idx val="2"/>
          <c:order val="2"/>
          <c:tx>
            <c:strRef>
              <c:f>Figure1sa!$D$2</c:f>
              <c:strCache>
                <c:ptCount val="1"/>
                <c:pt idx="0">
                  <c:v>Other biofuels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Figure1sa!$A$3:$A$11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Figure1sa!$D$3:$D$11</c:f>
              <c:numCache>
                <c:formatCode>#,##0.0</c:formatCode>
                <c:ptCount val="9"/>
                <c:pt idx="0">
                  <c:v>1.7420999999999999E-2</c:v>
                </c:pt>
                <c:pt idx="1">
                  <c:v>1.7797E-2</c:v>
                </c:pt>
                <c:pt idx="2">
                  <c:v>2.4337999999999999E-2</c:v>
                </c:pt>
                <c:pt idx="3">
                  <c:v>2.3764E-2</c:v>
                </c:pt>
                <c:pt idx="4">
                  <c:v>2.3764E-2</c:v>
                </c:pt>
                <c:pt idx="5">
                  <c:v>3.5150999999999995E-2</c:v>
                </c:pt>
                <c:pt idx="6">
                  <c:v>5.8293999999999999E-2</c:v>
                </c:pt>
                <c:pt idx="7">
                  <c:v>0.165078</c:v>
                </c:pt>
                <c:pt idx="8">
                  <c:v>0.26825500000000002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DE-41EB-8CC8-99EDA88A4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172272"/>
        <c:axId val="667170632"/>
      </c:areaChart>
      <c:barChart>
        <c:barDir val="col"/>
        <c:grouping val="stacked"/>
        <c:varyColors val="0"/>
        <c:ser>
          <c:idx val="3"/>
          <c:order val="3"/>
          <c:tx>
            <c:strRef>
              <c:f>Figure1sa!$E$2</c:f>
              <c:strCache>
                <c:ptCount val="1"/>
                <c:pt idx="0">
                  <c:v>Soybean oil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Figure1sa!$A$3:$A$11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Figure1sa!$E$3:$E$11</c:f>
              <c:numCache>
                <c:formatCode>#,##0.0</c:formatCode>
                <c:ptCount val="9"/>
                <c:pt idx="0">
                  <c:v>5.0385899999999992</c:v>
                </c:pt>
                <c:pt idx="1">
                  <c:v>5.67021</c:v>
                </c:pt>
                <c:pt idx="2">
                  <c:v>6.2002999999999995</c:v>
                </c:pt>
                <c:pt idx="3">
                  <c:v>7.2836900000000009</c:v>
                </c:pt>
                <c:pt idx="4">
                  <c:v>7.8633000000000015</c:v>
                </c:pt>
                <c:pt idx="5">
                  <c:v>7.8578199999999994</c:v>
                </c:pt>
                <c:pt idx="6">
                  <c:v>8.7099619999999991</c:v>
                </c:pt>
                <c:pt idx="7">
                  <c:v>10.3787537128</c:v>
                </c:pt>
                <c:pt idx="8">
                  <c:v>12.490714000000001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DE-41EB-8CC8-99EDA88A4EFC}"/>
            </c:ext>
          </c:extLst>
        </c:ser>
        <c:ser>
          <c:idx val="4"/>
          <c:order val="4"/>
          <c:tx>
            <c:strRef>
              <c:f>Figure1sa!$F$2</c:f>
              <c:strCache>
                <c:ptCount val="1"/>
                <c:pt idx="0">
                  <c:v>Canola oil</c:v>
                </c:pt>
              </c:strCache>
            </c:strRef>
          </c:tx>
          <c:spPr>
            <a:solidFill>
              <a:srgbClr val="FF9933"/>
            </a:solidFill>
            <a:ln w="25400">
              <a:noFill/>
            </a:ln>
            <a:effectLst/>
          </c:spPr>
          <c:invertIfNegative val="0"/>
          <c:cat>
            <c:strRef>
              <c:f>Figure1sa!$A$3:$A$11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Figure1sa!$F$3:$F$11</c:f>
              <c:numCache>
                <c:formatCode>#,##0.0</c:formatCode>
                <c:ptCount val="9"/>
                <c:pt idx="0">
                  <c:v>0.93528</c:v>
                </c:pt>
                <c:pt idx="1">
                  <c:v>1.00807</c:v>
                </c:pt>
                <c:pt idx="2">
                  <c:v>1.29437</c:v>
                </c:pt>
                <c:pt idx="3">
                  <c:v>1.0798399999999999</c:v>
                </c:pt>
                <c:pt idx="4">
                  <c:v>0.65534000000000003</c:v>
                </c:pt>
                <c:pt idx="5">
                  <c:v>1.0263900000000001</c:v>
                </c:pt>
                <c:pt idx="6">
                  <c:v>0.57804299999999997</c:v>
                </c:pt>
                <c:pt idx="7">
                  <c:v>1.177937888</c:v>
                </c:pt>
                <c:pt idx="8">
                  <c:v>2.9125220000000001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DE-41EB-8CC8-99EDA88A4EFC}"/>
            </c:ext>
          </c:extLst>
        </c:ser>
        <c:ser>
          <c:idx val="5"/>
          <c:order val="5"/>
          <c:tx>
            <c:strRef>
              <c:f>Figure1sa!$G$2</c:f>
              <c:strCache>
                <c:ptCount val="1"/>
                <c:pt idx="0">
                  <c:v>Corn oil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Figure1sa!$A$3:$A$11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Figure1sa!$G$3:$G$11</c:f>
              <c:numCache>
                <c:formatCode>#,##0.0</c:formatCode>
                <c:ptCount val="9"/>
                <c:pt idx="0">
                  <c:v>1.0308900000000001</c:v>
                </c:pt>
                <c:pt idx="1">
                  <c:v>1.2059300000000002</c:v>
                </c:pt>
                <c:pt idx="2">
                  <c:v>1.5197100000000001</c:v>
                </c:pt>
                <c:pt idx="3">
                  <c:v>1.99108</c:v>
                </c:pt>
                <c:pt idx="4">
                  <c:v>1.8695500000000003</c:v>
                </c:pt>
                <c:pt idx="5">
                  <c:v>1.56914</c:v>
                </c:pt>
                <c:pt idx="6">
                  <c:v>2.2562319999999998</c:v>
                </c:pt>
                <c:pt idx="7">
                  <c:v>3.027606843</c:v>
                </c:pt>
                <c:pt idx="8">
                  <c:v>3.6874060000000002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DE-41EB-8CC8-99EDA88A4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763151"/>
        <c:axId val="133749007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 (MY)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0743783961874036"/>
              <c:y val="0.793960248784751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Billion gallons</a:t>
                </a:r>
              </a:p>
            </c:rich>
          </c:tx>
          <c:layout>
            <c:manualLayout>
              <c:xMode val="edge"/>
              <c:yMode val="edge"/>
              <c:x val="1.8051181102362204E-3"/>
              <c:y val="0.14098654934320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133749007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Billion pounds</a:t>
                </a:r>
              </a:p>
            </c:rich>
          </c:tx>
          <c:layout>
            <c:manualLayout>
              <c:xMode val="edge"/>
              <c:yMode val="edge"/>
              <c:x val="0.87212053788949084"/>
              <c:y val="0.12499430376958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3763151"/>
        <c:crosses val="max"/>
        <c:crossBetween val="between"/>
      </c:valAx>
      <c:catAx>
        <c:axId val="133763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7490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3925071775084714E-2"/>
          <c:y val="0.16868800490847732"/>
          <c:w val="0.8265729857682258"/>
          <c:h val="5.9559718044648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2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U.S. soybean oil supply and disappearance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1.4994279561208691E-3"/>
          <c:y val="6.289156384187608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065616797900264E-2"/>
          <c:y val="0.19239134478268957"/>
          <c:w val="0.91902909934291588"/>
          <c:h val="0.47933590978293067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'Figure 2sa'!$C$1</c:f>
              <c:strCache>
                <c:ptCount val="1"/>
                <c:pt idx="0">
                  <c:v>Biofuel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2sa'!$A$2:$A$11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2022/23*</c:v>
                </c:pt>
                <c:pt idx="9">
                  <c:v>2023/24*</c:v>
                </c:pt>
              </c:strCache>
            </c:strRef>
          </c:cat>
          <c:val>
            <c:numRef>
              <c:f>'Figure 2sa'!$C$2:$C$11</c:f>
              <c:numCache>
                <c:formatCode>#,##0</c:formatCode>
                <c:ptCount val="10"/>
                <c:pt idx="0">
                  <c:v>5.04</c:v>
                </c:pt>
                <c:pt idx="1">
                  <c:v>5.67</c:v>
                </c:pt>
                <c:pt idx="2">
                  <c:v>6.2</c:v>
                </c:pt>
                <c:pt idx="3">
                  <c:v>7.33</c:v>
                </c:pt>
                <c:pt idx="4">
                  <c:v>8.66</c:v>
                </c:pt>
                <c:pt idx="5">
                  <c:v>8.66</c:v>
                </c:pt>
                <c:pt idx="6">
                  <c:v>8.92</c:v>
                </c:pt>
                <c:pt idx="7">
                  <c:v>10.38</c:v>
                </c:pt>
                <c:pt idx="8">
                  <c:v>12.49</c:v>
                </c:pt>
                <c:pt idx="9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7D-4450-AFAD-404DE75D9AEA}"/>
            </c:ext>
          </c:extLst>
        </c:ser>
        <c:ser>
          <c:idx val="2"/>
          <c:order val="2"/>
          <c:tx>
            <c:strRef>
              <c:f>'Figure 2sa'!$D$1</c:f>
              <c:strCache>
                <c:ptCount val="1"/>
                <c:pt idx="0">
                  <c:v>Food, feed, and other industrial use</c:v>
                </c:pt>
              </c:strCache>
            </c:strRef>
          </c:tx>
          <c:spPr>
            <a:pattFill prst="lgConfetti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2sa'!$A$2:$A$11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2022/23*</c:v>
                </c:pt>
                <c:pt idx="9">
                  <c:v>2023/24*</c:v>
                </c:pt>
              </c:strCache>
            </c:strRef>
          </c:cat>
          <c:val>
            <c:numRef>
              <c:f>'Figure 2sa'!$D$2:$D$11</c:f>
              <c:numCache>
                <c:formatCode>#,##0</c:formatCode>
                <c:ptCount val="10"/>
                <c:pt idx="0">
                  <c:v>13.92</c:v>
                </c:pt>
                <c:pt idx="1">
                  <c:v>14.49</c:v>
                </c:pt>
                <c:pt idx="2">
                  <c:v>13.66</c:v>
                </c:pt>
                <c:pt idx="3">
                  <c:v>14.05</c:v>
                </c:pt>
                <c:pt idx="4">
                  <c:v>14.21</c:v>
                </c:pt>
                <c:pt idx="5">
                  <c:v>13.66</c:v>
                </c:pt>
                <c:pt idx="6">
                  <c:v>14.39</c:v>
                </c:pt>
                <c:pt idx="7">
                  <c:v>14.45</c:v>
                </c:pt>
                <c:pt idx="8">
                  <c:v>14.12</c:v>
                </c:pt>
                <c:pt idx="9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7D-4450-AFAD-404DE75D9AEA}"/>
            </c:ext>
          </c:extLst>
        </c:ser>
        <c:ser>
          <c:idx val="3"/>
          <c:order val="3"/>
          <c:tx>
            <c:strRef>
              <c:f>'Figure 2sa'!$E$1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'Figure 2sa'!$A$2:$A$11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2022/23*</c:v>
                </c:pt>
                <c:pt idx="9">
                  <c:v>2023/24*</c:v>
                </c:pt>
              </c:strCache>
            </c:strRef>
          </c:cat>
          <c:val>
            <c:numRef>
              <c:f>'Figure 2sa'!$E$2:$E$11</c:f>
              <c:numCache>
                <c:formatCode>#,##0</c:formatCode>
                <c:ptCount val="10"/>
                <c:pt idx="0">
                  <c:v>2.0099999999999998</c:v>
                </c:pt>
                <c:pt idx="1">
                  <c:v>2.2400000000000002</c:v>
                </c:pt>
                <c:pt idx="2">
                  <c:v>2.56</c:v>
                </c:pt>
                <c:pt idx="3">
                  <c:v>2.44</c:v>
                </c:pt>
                <c:pt idx="4">
                  <c:v>1.94</c:v>
                </c:pt>
                <c:pt idx="5">
                  <c:v>2.84</c:v>
                </c:pt>
                <c:pt idx="6">
                  <c:v>1.73</c:v>
                </c:pt>
                <c:pt idx="7">
                  <c:v>1.77</c:v>
                </c:pt>
                <c:pt idx="8">
                  <c:v>0.38</c:v>
                </c:pt>
                <c:pt idx="9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7D-4450-AFAD-404DE75D9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1"/>
          <c:order val="0"/>
          <c:tx>
            <c:strRef>
              <c:f>'Figure 2sa'!$B$1</c:f>
              <c:strCache>
                <c:ptCount val="1"/>
                <c:pt idx="0">
                  <c:v>Supply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2sa'!$A$2:$A$11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2022/23*</c:v>
                </c:pt>
                <c:pt idx="9">
                  <c:v>2023/24*</c:v>
                </c:pt>
              </c:strCache>
            </c:strRef>
          </c:cat>
          <c:val>
            <c:numRef>
              <c:f>'Figure 2sa'!$B$2:$B$11</c:f>
              <c:numCache>
                <c:formatCode>#,##0</c:formatCode>
                <c:ptCount val="10"/>
                <c:pt idx="0">
                  <c:v>22.83</c:v>
                </c:pt>
                <c:pt idx="1">
                  <c:v>24.09</c:v>
                </c:pt>
                <c:pt idx="2">
                  <c:v>24.13</c:v>
                </c:pt>
                <c:pt idx="3">
                  <c:v>25.82</c:v>
                </c:pt>
                <c:pt idx="4">
                  <c:v>26.59</c:v>
                </c:pt>
                <c:pt idx="5">
                  <c:v>27.01</c:v>
                </c:pt>
                <c:pt idx="6">
                  <c:v>27.18</c:v>
                </c:pt>
                <c:pt idx="7">
                  <c:v>28.59</c:v>
                </c:pt>
                <c:pt idx="8">
                  <c:v>28.59</c:v>
                </c:pt>
                <c:pt idx="9">
                  <c:v>29.03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7D-4450-AFAD-404DE75D9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2626993851161177"/>
              <c:y val="0.806028892057784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1"/>
      </c:catAx>
      <c:valAx>
        <c:axId val="667170632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baseline="0">
                    <a:effectLst/>
                  </a:rPr>
                  <a:t>Billion pounds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3.9686060177165751E-3"/>
              <c:y val="0.121327904878031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5"/>
      </c:valAx>
    </c:plotArea>
    <c:legend>
      <c:legendPos val="t"/>
      <c:layout>
        <c:manualLayout>
          <c:xMode val="edge"/>
          <c:yMode val="edge"/>
          <c:x val="0.17786555036920093"/>
          <c:y val="8.6573666480666292E-2"/>
          <c:w val="0.76077302218410814"/>
          <c:h val="5.5380304024496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3 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World vegetable oils prices, MY 2014/15–2022/23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3.6361800928730067E-3"/>
          <c:y val="6.289318001916427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165598021708476E-2"/>
          <c:y val="0.29498250133607967"/>
          <c:w val="0.86887862810033112"/>
          <c:h val="0.37814480507009796"/>
        </c:manualLayout>
      </c:layout>
      <c:lineChart>
        <c:grouping val="standard"/>
        <c:varyColors val="0"/>
        <c:ser>
          <c:idx val="1"/>
          <c:order val="0"/>
          <c:tx>
            <c:strRef>
              <c:f>'Figure 3sa'!$B$2</c:f>
              <c:strCache>
                <c:ptCount val="1"/>
                <c:pt idx="0">
                  <c:v>Soybean oil, U.S. Gulf, FOB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'Figure 3sa'!$A$3:$A$11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3sa'!$B$3:$B$11</c:f>
              <c:numCache>
                <c:formatCode>0</c:formatCode>
                <c:ptCount val="9"/>
                <c:pt idx="0">
                  <c:v>743.36</c:v>
                </c:pt>
                <c:pt idx="1">
                  <c:v>712.03</c:v>
                </c:pt>
                <c:pt idx="2">
                  <c:v>788.44</c:v>
                </c:pt>
                <c:pt idx="3">
                  <c:v>731.42</c:v>
                </c:pt>
                <c:pt idx="4">
                  <c:v>674.82</c:v>
                </c:pt>
                <c:pt idx="5">
                  <c:v>712.32</c:v>
                </c:pt>
                <c:pt idx="6">
                  <c:v>1273.74</c:v>
                </c:pt>
                <c:pt idx="7">
                  <c:v>1634.86</c:v>
                </c:pt>
                <c:pt idx="8">
                  <c:v>1495.41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6E-40C4-ACFA-F048B951E16F}"/>
            </c:ext>
          </c:extLst>
        </c:ser>
        <c:ser>
          <c:idx val="0"/>
          <c:order val="1"/>
          <c:tx>
            <c:strRef>
              <c:f>'Figure 3sa'!$C$2</c:f>
              <c:strCache>
                <c:ptCount val="1"/>
                <c:pt idx="0">
                  <c:v>Soybean oil, Argentina, Upriver, FOB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'Figure 3sa'!$A$3:$A$11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3sa'!$C$3:$C$11</c:f>
              <c:numCache>
                <c:formatCode>0</c:formatCode>
                <c:ptCount val="9"/>
                <c:pt idx="0">
                  <c:v>705.91</c:v>
                </c:pt>
                <c:pt idx="1">
                  <c:v>697.42</c:v>
                </c:pt>
                <c:pt idx="2">
                  <c:v>762.39</c:v>
                </c:pt>
                <c:pt idx="3">
                  <c:v>723.54</c:v>
                </c:pt>
                <c:pt idx="4">
                  <c:v>649.24</c:v>
                </c:pt>
                <c:pt idx="5">
                  <c:v>696.91</c:v>
                </c:pt>
                <c:pt idx="6">
                  <c:v>1146.8699999999999</c:v>
                </c:pt>
                <c:pt idx="7">
                  <c:v>1494.53</c:v>
                </c:pt>
                <c:pt idx="8">
                  <c:v>1091.3699999999999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6E-40C4-ACFA-F048B951E16F}"/>
            </c:ext>
          </c:extLst>
        </c:ser>
        <c:ser>
          <c:idx val="2"/>
          <c:order val="2"/>
          <c:tx>
            <c:strRef>
              <c:f>'Figure 3sa'!$D$2</c:f>
              <c:strCache>
                <c:ptCount val="1"/>
                <c:pt idx="0">
                  <c:v>Rapeseed oil, Netherlands, ex-mill, FOB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'Figure 3sa'!$A$3:$A$11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3sa'!$D$3:$D$11</c:f>
              <c:numCache>
                <c:formatCode>0</c:formatCode>
                <c:ptCount val="9"/>
                <c:pt idx="0">
                  <c:v>790.41</c:v>
                </c:pt>
                <c:pt idx="1">
                  <c:v>799.73</c:v>
                </c:pt>
                <c:pt idx="2">
                  <c:v>884.02</c:v>
                </c:pt>
                <c:pt idx="3">
                  <c:v>851.54</c:v>
                </c:pt>
                <c:pt idx="4">
                  <c:v>841</c:v>
                </c:pt>
                <c:pt idx="5">
                  <c:v>872.68</c:v>
                </c:pt>
                <c:pt idx="6">
                  <c:v>1291.1400000000001</c:v>
                </c:pt>
                <c:pt idx="7">
                  <c:v>1844.59</c:v>
                </c:pt>
                <c:pt idx="8">
                  <c:v>1099.67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6E-40C4-ACFA-F048B951E16F}"/>
            </c:ext>
          </c:extLst>
        </c:ser>
        <c:ser>
          <c:idx val="3"/>
          <c:order val="3"/>
          <c:tx>
            <c:strRef>
              <c:f>'Figure 3sa'!$E$2</c:f>
              <c:strCache>
                <c:ptCount val="1"/>
                <c:pt idx="0">
                  <c:v>Sunflowerseed oil, Ukraine,FOB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prstDash val="sysDash"/>
              </a:ln>
              <a:effectLst/>
            </c:spPr>
          </c:marker>
          <c:cat>
            <c:strRef>
              <c:f>'Figure 3sa'!$A$3:$A$11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3sa'!$E$3:$E$11</c:f>
              <c:numCache>
                <c:formatCode>0</c:formatCode>
                <c:ptCount val="9"/>
                <c:pt idx="0">
                  <c:v>797.68</c:v>
                </c:pt>
                <c:pt idx="1">
                  <c:v>787.76</c:v>
                </c:pt>
                <c:pt idx="2">
                  <c:v>753.91</c:v>
                </c:pt>
                <c:pt idx="3">
                  <c:v>744.72</c:v>
                </c:pt>
                <c:pt idx="4">
                  <c:v>681.39</c:v>
                </c:pt>
                <c:pt idx="5">
                  <c:v>752.45</c:v>
                </c:pt>
                <c:pt idx="6">
                  <c:v>1291.04</c:v>
                </c:pt>
                <c:pt idx="7">
                  <c:v>1355.64</c:v>
                </c:pt>
                <c:pt idx="8">
                  <c:v>926.13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96E-40C4-ACFA-F048B951E16F}"/>
            </c:ext>
          </c:extLst>
        </c:ser>
        <c:ser>
          <c:idx val="4"/>
          <c:order val="4"/>
          <c:tx>
            <c:strRef>
              <c:f>'Figure 3sa'!$F$2</c:f>
              <c:strCache>
                <c:ptCount val="1"/>
                <c:pt idx="0">
                  <c:v>Palm oil, Indonesia, FOB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'Figure 3sa'!$A$3:$A$11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3sa'!$F$3:$F$11</c:f>
              <c:numCache>
                <c:formatCode>0</c:formatCode>
                <c:ptCount val="9"/>
                <c:pt idx="0">
                  <c:v>611.05999999999995</c:v>
                </c:pt>
                <c:pt idx="1">
                  <c:v>618.95000000000005</c:v>
                </c:pt>
                <c:pt idx="2">
                  <c:v>701.01</c:v>
                </c:pt>
                <c:pt idx="3">
                  <c:v>619.16999999999996</c:v>
                </c:pt>
                <c:pt idx="4">
                  <c:v>491.47</c:v>
                </c:pt>
                <c:pt idx="5">
                  <c:v>632.69000000000005</c:v>
                </c:pt>
                <c:pt idx="6">
                  <c:v>1052.69</c:v>
                </c:pt>
                <c:pt idx="7">
                  <c:v>1410.29</c:v>
                </c:pt>
                <c:pt idx="8">
                  <c:v>929.31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96E-40C4-ACFA-F048B951E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6513365957005626"/>
              <c:y val="0.82063915028914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0"/>
      </c:catAx>
      <c:valAx>
        <c:axId val="667170632"/>
        <c:scaling>
          <c:orientation val="minMax"/>
          <c:max val="2000"/>
          <c:min val="2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Dollars</a:t>
                </a:r>
                <a:r>
                  <a:rPr lang="en-US" sz="900" baseline="0"/>
                  <a:t> per</a:t>
                </a:r>
                <a:r>
                  <a:rPr lang="en-US" sz="900"/>
                  <a:t> metric ton</a:t>
                </a:r>
              </a:p>
            </c:rich>
          </c:tx>
          <c:layout>
            <c:manualLayout>
              <c:xMode val="edge"/>
              <c:yMode val="edge"/>
              <c:x val="1.3916552723842031E-4"/>
              <c:y val="0.230102542614545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200"/>
      </c:valAx>
    </c:plotArea>
    <c:legend>
      <c:legendPos val="t"/>
      <c:layout>
        <c:manualLayout>
          <c:xMode val="edge"/>
          <c:yMode val="edge"/>
          <c:x val="3.5279011927223859E-2"/>
          <c:y val="0.11313191529292276"/>
          <c:w val="0.96472095129458357"/>
          <c:h val="0.115848323837569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4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effectLst/>
              </a:rPr>
              <a:t>U.S. soybean oil export destinations, MY</a:t>
            </a:r>
            <a:r>
              <a:rPr lang="en-US" sz="1100" baseline="0">
                <a:effectLst/>
              </a:rPr>
              <a:t> 2014/15–2022/23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1.4994394131403416E-3"/>
          <c:y val="6.008717236137338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520017066884335E-2"/>
          <c:y val="0.16780500877372218"/>
          <c:w val="0.76169607522558502"/>
          <c:h val="0.5060692184559276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4sa'!$B$1</c:f>
              <c:strCache>
                <c:ptCount val="1"/>
                <c:pt idx="0">
                  <c:v>South Korea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4sa'!$A$2:$A$10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4sa'!$B$2:$B$10</c:f>
              <c:numCache>
                <c:formatCode>#,##0</c:formatCode>
                <c:ptCount val="9"/>
                <c:pt idx="0">
                  <c:v>127110232.10600001</c:v>
                </c:pt>
                <c:pt idx="1">
                  <c:v>202139844.10399997</c:v>
                </c:pt>
                <c:pt idx="2">
                  <c:v>453517671.28799999</c:v>
                </c:pt>
                <c:pt idx="3">
                  <c:v>664537063.36599994</c:v>
                </c:pt>
                <c:pt idx="4">
                  <c:v>667544165.04599988</c:v>
                </c:pt>
                <c:pt idx="5">
                  <c:v>778360932.57999992</c:v>
                </c:pt>
                <c:pt idx="6">
                  <c:v>471798821.25199997</c:v>
                </c:pt>
                <c:pt idx="7">
                  <c:v>245759132.65200001</c:v>
                </c:pt>
                <c:pt idx="8">
                  <c:v>583562.91399999999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1A-46D7-92F5-27B2CF53D744}"/>
            </c:ext>
          </c:extLst>
        </c:ser>
        <c:ser>
          <c:idx val="0"/>
          <c:order val="1"/>
          <c:tx>
            <c:strRef>
              <c:f>'Figure 4sa'!$C$1</c:f>
              <c:strCache>
                <c:ptCount val="1"/>
                <c:pt idx="0">
                  <c:v>Mexico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'Figure 4sa'!$A$2:$A$10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4sa'!$C$2:$C$10</c:f>
              <c:numCache>
                <c:formatCode>#,##0</c:formatCode>
                <c:ptCount val="9"/>
                <c:pt idx="0">
                  <c:v>540491473.52199996</c:v>
                </c:pt>
                <c:pt idx="1">
                  <c:v>519306839.01799995</c:v>
                </c:pt>
                <c:pt idx="2">
                  <c:v>584285808.898</c:v>
                </c:pt>
                <c:pt idx="3">
                  <c:v>367414253.02999997</c:v>
                </c:pt>
                <c:pt idx="4">
                  <c:v>276834794.78600001</c:v>
                </c:pt>
                <c:pt idx="5">
                  <c:v>284274284.97600001</c:v>
                </c:pt>
                <c:pt idx="6">
                  <c:v>141207454.234</c:v>
                </c:pt>
                <c:pt idx="7">
                  <c:v>202305631.52799997</c:v>
                </c:pt>
                <c:pt idx="8">
                  <c:v>105099306.02600001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1A-46D7-92F5-27B2CF53D744}"/>
            </c:ext>
          </c:extLst>
        </c:ser>
        <c:ser>
          <c:idx val="1"/>
          <c:order val="2"/>
          <c:tx>
            <c:strRef>
              <c:f>'Figure 4sa'!$D$1</c:f>
              <c:strCache>
                <c:ptCount val="1"/>
                <c:pt idx="0">
                  <c:v>Dominican Republic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4sa'!$A$2:$A$10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4sa'!$D$2:$D$10</c:f>
              <c:numCache>
                <c:formatCode>#,##0</c:formatCode>
                <c:ptCount val="9"/>
                <c:pt idx="0">
                  <c:v>256879897.31799999</c:v>
                </c:pt>
                <c:pt idx="1">
                  <c:v>261480498.33399999</c:v>
                </c:pt>
                <c:pt idx="2">
                  <c:v>330552786.16799998</c:v>
                </c:pt>
                <c:pt idx="3">
                  <c:v>335507008.23199999</c:v>
                </c:pt>
                <c:pt idx="4">
                  <c:v>307189766.64200002</c:v>
                </c:pt>
                <c:pt idx="5">
                  <c:v>332909304.48599994</c:v>
                </c:pt>
                <c:pt idx="6">
                  <c:v>178551291.95199999</c:v>
                </c:pt>
                <c:pt idx="7">
                  <c:v>113469366.318</c:v>
                </c:pt>
                <c:pt idx="8">
                  <c:v>13753962.794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1A-46D7-92F5-27B2CF53D744}"/>
            </c:ext>
          </c:extLst>
        </c:ser>
        <c:ser>
          <c:idx val="3"/>
          <c:order val="3"/>
          <c:tx>
            <c:strRef>
              <c:f>'Figure 4sa'!$E$1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4sa'!$A$2:$A$10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4sa'!$E$2:$E$10</c:f>
              <c:numCache>
                <c:formatCode>#,##0</c:formatCode>
                <c:ptCount val="9"/>
                <c:pt idx="0">
                  <c:v>129563533.24199998</c:v>
                </c:pt>
                <c:pt idx="1">
                  <c:v>112625217.31999999</c:v>
                </c:pt>
                <c:pt idx="2">
                  <c:v>269667795.62799996</c:v>
                </c:pt>
                <c:pt idx="3">
                  <c:v>239126753.84399998</c:v>
                </c:pt>
                <c:pt idx="4">
                  <c:v>148238648.79999998</c:v>
                </c:pt>
                <c:pt idx="5">
                  <c:v>301621998.83200002</c:v>
                </c:pt>
                <c:pt idx="6">
                  <c:v>78655991.436000004</c:v>
                </c:pt>
                <c:pt idx="7">
                  <c:v>72631646.823999986</c:v>
                </c:pt>
                <c:pt idx="8">
                  <c:v>11468874.163999999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41A-46D7-92F5-27B2CF53D744}"/>
            </c:ext>
          </c:extLst>
        </c:ser>
        <c:ser>
          <c:idx val="4"/>
          <c:order val="4"/>
          <c:tx>
            <c:strRef>
              <c:f>'Figure 4sa'!$F$1</c:f>
              <c:strCache>
                <c:ptCount val="1"/>
                <c:pt idx="0">
                  <c:v>Guatemala </c:v>
                </c:pt>
              </c:strCache>
            </c:strRef>
          </c:tx>
          <c:spPr>
            <a:pattFill prst="horzBrick">
              <a:fgClr>
                <a:schemeClr val="accent3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4sa'!$A$2:$A$10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4sa'!$F$2:$F$10</c:f>
              <c:numCache>
                <c:formatCode>#,##0</c:formatCode>
                <c:ptCount val="9"/>
                <c:pt idx="0">
                  <c:v>101281345.11</c:v>
                </c:pt>
                <c:pt idx="1">
                  <c:v>108138374.69599999</c:v>
                </c:pt>
                <c:pt idx="2">
                  <c:v>94379120.813999996</c:v>
                </c:pt>
                <c:pt idx="3">
                  <c:v>157872617.73799998</c:v>
                </c:pt>
                <c:pt idx="4">
                  <c:v>192713329.90799999</c:v>
                </c:pt>
                <c:pt idx="5">
                  <c:v>231890309.15599999</c:v>
                </c:pt>
                <c:pt idx="6">
                  <c:v>191388132.82600001</c:v>
                </c:pt>
                <c:pt idx="7">
                  <c:v>179165940.00799999</c:v>
                </c:pt>
                <c:pt idx="8">
                  <c:v>12507691.107999999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41A-46D7-92F5-27B2CF53D744}"/>
            </c:ext>
          </c:extLst>
        </c:ser>
        <c:ser>
          <c:idx val="10"/>
          <c:order val="5"/>
          <c:tx>
            <c:strRef>
              <c:f>'Figure 4sa'!$G$1</c:f>
              <c:strCache>
                <c:ptCount val="1"/>
                <c:pt idx="0">
                  <c:v>ROW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4sa'!$A$2:$A$10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4sa'!$G$2:$G$10</c:f>
              <c:numCache>
                <c:formatCode>#,##0</c:formatCode>
                <c:ptCount val="9"/>
                <c:pt idx="0">
                  <c:v>859044513.02999997</c:v>
                </c:pt>
                <c:pt idx="1">
                  <c:v>1038848470.0660001</c:v>
                </c:pt>
                <c:pt idx="2">
                  <c:v>823256696.1079998</c:v>
                </c:pt>
                <c:pt idx="3">
                  <c:v>678576965.37399983</c:v>
                </c:pt>
                <c:pt idx="4">
                  <c:v>347898956.78999996</c:v>
                </c:pt>
                <c:pt idx="5">
                  <c:v>907634778.75399983</c:v>
                </c:pt>
                <c:pt idx="6">
                  <c:v>671100217.10600007</c:v>
                </c:pt>
                <c:pt idx="7">
                  <c:v>957586176.86600006</c:v>
                </c:pt>
                <c:pt idx="8">
                  <c:v>234660193.72400001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41A-46D7-92F5-27B2CF53D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 (MY</a:t>
                </a:r>
                <a:r>
                  <a:rPr lang="en-US" sz="900"/>
                  <a:t>)</a:t>
                </a:r>
              </a:p>
            </c:rich>
          </c:tx>
          <c:layout>
            <c:manualLayout>
              <c:xMode val="edge"/>
              <c:yMode val="edge"/>
              <c:x val="0.42752986003105564"/>
              <c:y val="0.817085861318717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baseline="0">
                    <a:effectLst/>
                  </a:rPr>
                  <a:t>Million pounds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3.9686385355676684E-3"/>
              <c:y val="9.333139398513777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82782606502807554"/>
          <c:y val="0.15898172230733601"/>
          <c:w val="0.16630241081335531"/>
          <c:h val="0.586575737711823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5a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Mexico's soybean oil import destinations, MY 2017/18–2022/23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2.5213222616178891E-4"/>
          <c:y val="2.292788028362126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071720567092857"/>
          <c:y val="0.23500795236416344"/>
          <c:w val="0.72702695788757388"/>
          <c:h val="0.49338096916989854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'Figure 5asa'!$A$2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5asa'!$B$1:$G$1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5asa'!$B$2:$G$2</c:f>
              <c:numCache>
                <c:formatCode>0</c:formatCode>
                <c:ptCount val="6"/>
                <c:pt idx="0">
                  <c:v>166005.55800000002</c:v>
                </c:pt>
                <c:pt idx="1">
                  <c:v>124681.12800000001</c:v>
                </c:pt>
                <c:pt idx="2">
                  <c:v>128127.24399999999</c:v>
                </c:pt>
                <c:pt idx="3">
                  <c:v>63161.107000000004</c:v>
                </c:pt>
                <c:pt idx="4">
                  <c:v>90840.054000000004</c:v>
                </c:pt>
                <c:pt idx="5">
                  <c:v>47244.809000000001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B1-4122-99A6-69325AD7B7A4}"/>
            </c:ext>
          </c:extLst>
        </c:ser>
        <c:ser>
          <c:idx val="2"/>
          <c:order val="1"/>
          <c:tx>
            <c:strRef>
              <c:f>'Figure 5asa'!$A$3</c:f>
              <c:strCache>
                <c:ptCount val="1"/>
                <c:pt idx="0">
                  <c:v>Argentina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5asa'!$B$1:$G$1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5asa'!$B$3:$G$3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4300</c:v>
                </c:pt>
                <c:pt idx="5">
                  <c:v>43318.953999999998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B1-4122-99A6-69325AD7B7A4}"/>
            </c:ext>
          </c:extLst>
        </c:ser>
        <c:ser>
          <c:idx val="1"/>
          <c:order val="2"/>
          <c:tx>
            <c:strRef>
              <c:f>'Figure 5asa'!$A$4</c:f>
              <c:strCache>
                <c:ptCount val="1"/>
                <c:pt idx="0">
                  <c:v>Guatemala</c:v>
                </c:pt>
              </c:strCache>
            </c:strRef>
          </c:tx>
          <c:spPr>
            <a:pattFill prst="smGrid">
              <a:fgClr>
                <a:schemeClr val="tx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5asa'!$B$1:$G$1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5asa'!$B$4:$G$4</c:f>
              <c:numCache>
                <c:formatCode>0</c:formatCode>
                <c:ptCount val="6"/>
                <c:pt idx="0">
                  <c:v>335.07099999999997</c:v>
                </c:pt>
                <c:pt idx="1">
                  <c:v>1599.3180000000002</c:v>
                </c:pt>
                <c:pt idx="2">
                  <c:v>6930.5259999999998</c:v>
                </c:pt>
                <c:pt idx="3">
                  <c:v>14132.919</c:v>
                </c:pt>
                <c:pt idx="4">
                  <c:v>10778.573000000002</c:v>
                </c:pt>
                <c:pt idx="5">
                  <c:v>3099.34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B1-4122-99A6-69325AD7B7A4}"/>
            </c:ext>
          </c:extLst>
        </c:ser>
        <c:ser>
          <c:idx val="5"/>
          <c:order val="3"/>
          <c:tx>
            <c:strRef>
              <c:f>'Figure 5asa'!$A$5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'Figure 5asa'!$B$1:$G$1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5asa'!$B$5:$G$5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518.4</c:v>
                </c:pt>
                <c:pt idx="5">
                  <c:v>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1B1-4122-99A6-69325AD7B7A4}"/>
            </c:ext>
          </c:extLst>
        </c:ser>
        <c:ser>
          <c:idx val="3"/>
          <c:order val="4"/>
          <c:tx>
            <c:strRef>
              <c:f>'Figure 5asa'!$A$6</c:f>
              <c:strCache>
                <c:ptCount val="1"/>
                <c:pt idx="0">
                  <c:v>Belize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5asa'!$B$1:$G$1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5asa'!$B$6:$G$6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638.15909999999997</c:v>
                </c:pt>
                <c:pt idx="3">
                  <c:v>1275.61967</c:v>
                </c:pt>
                <c:pt idx="4">
                  <c:v>1449.1369099999997</c:v>
                </c:pt>
                <c:pt idx="5">
                  <c:v>1306.45489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1B1-4122-99A6-69325AD7B7A4}"/>
            </c:ext>
          </c:extLst>
        </c:ser>
        <c:ser>
          <c:idx val="0"/>
          <c:order val="5"/>
          <c:tx>
            <c:strRef>
              <c:f>'Figure 5asa'!$A$7</c:f>
              <c:strCache>
                <c:ptCount val="1"/>
                <c:pt idx="0">
                  <c:v>ROW</c:v>
                </c:pt>
              </c:strCache>
            </c:strRef>
          </c:tx>
          <c:spPr>
            <a:solidFill>
              <a:schemeClr val="accent4"/>
            </a:solidFill>
            <a:ln w="38100">
              <a:noFill/>
            </a:ln>
            <a:effectLst/>
          </c:spPr>
          <c:invertIfNegative val="0"/>
          <c:cat>
            <c:strRef>
              <c:f>'Figure 5asa'!$B$1:$G$1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5asa'!$B$7:$G$7</c:f>
              <c:numCache>
                <c:formatCode>0</c:formatCode>
                <c:ptCount val="6"/>
                <c:pt idx="0">
                  <c:v>283.3384800000058</c:v>
                </c:pt>
                <c:pt idx="1">
                  <c:v>233.2844999999943</c:v>
                </c:pt>
                <c:pt idx="2">
                  <c:v>541.31760999999824</c:v>
                </c:pt>
                <c:pt idx="3">
                  <c:v>1069.3052400000015</c:v>
                </c:pt>
                <c:pt idx="4">
                  <c:v>1678.8190000000031</c:v>
                </c:pt>
                <c:pt idx="5">
                  <c:v>1359.9019999999873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1B1-4122-99A6-69325AD7B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39003571381935465"/>
              <c:y val="0.8906553900997428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Metric tons (thousand)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2.3415957341118431E-3"/>
              <c:y val="9.453512414175847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2358940207100984"/>
          <c:y val="0.36885076386402132"/>
          <c:w val="0.17080922030529516"/>
          <c:h val="0.334196491546466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5b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South Korea's soybean oil import destinations, MY 2017/18–2022/23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2.5209912524542502E-4"/>
          <c:y val="2.292652936578724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990712019583412E-2"/>
          <c:y val="0.21128242745156825"/>
          <c:w val="0.67402067892198403"/>
          <c:h val="0.494141732283464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5bsa'!$A$2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8100">
              <a:noFill/>
            </a:ln>
            <a:effectLst/>
          </c:spPr>
          <c:invertIfNegative val="0"/>
          <c:cat>
            <c:strRef>
              <c:f>'Figure 5bsa'!$B$1:$G$1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5bsa'!$B$2:$G$2</c:f>
              <c:numCache>
                <c:formatCode>#,##0.00_);\(#,##0.00\)</c:formatCode>
                <c:ptCount val="6"/>
                <c:pt idx="0">
                  <c:v>225453.192415</c:v>
                </c:pt>
                <c:pt idx="1">
                  <c:v>284552.92944000004</c:v>
                </c:pt>
                <c:pt idx="2">
                  <c:v>352114.40739299997</c:v>
                </c:pt>
                <c:pt idx="3">
                  <c:v>275862.60864699999</c:v>
                </c:pt>
                <c:pt idx="4">
                  <c:v>111421.99815000001</c:v>
                </c:pt>
                <c:pt idx="5">
                  <c:v>96.044292999999982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F9E-4107-B875-D2220A46D07D}"/>
            </c:ext>
          </c:extLst>
        </c:ser>
        <c:ser>
          <c:idx val="4"/>
          <c:order val="1"/>
          <c:tx>
            <c:strRef>
              <c:f>'Figure 5bsa'!$A$3</c:f>
              <c:strCache>
                <c:ptCount val="1"/>
                <c:pt idx="0">
                  <c:v>Argentina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5bsa'!$B$1:$G$1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5bsa'!$B$3:$G$3</c:f>
              <c:numCache>
                <c:formatCode>#,##0.00_);\(#,##0.00\)</c:formatCode>
                <c:ptCount val="6"/>
                <c:pt idx="0">
                  <c:v>28582.397569999997</c:v>
                </c:pt>
                <c:pt idx="1">
                  <c:v>10160.216</c:v>
                </c:pt>
                <c:pt idx="2">
                  <c:v>15502.967700000001</c:v>
                </c:pt>
                <c:pt idx="3">
                  <c:v>56438.269350000002</c:v>
                </c:pt>
                <c:pt idx="4">
                  <c:v>175117.16970500001</c:v>
                </c:pt>
                <c:pt idx="5">
                  <c:v>202321.22308999998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F9E-4107-B875-D2220A46D07D}"/>
            </c:ext>
          </c:extLst>
        </c:ser>
        <c:ser>
          <c:idx val="2"/>
          <c:order val="2"/>
          <c:tx>
            <c:strRef>
              <c:f>'Figure 5bsa'!$A$4</c:f>
              <c:strCache>
                <c:ptCount val="1"/>
                <c:pt idx="0">
                  <c:v>Vietnam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5bsa'!$B$1:$G$1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5bsa'!$B$4:$G$4</c:f>
              <c:numCache>
                <c:formatCode>#,##0.00_);\(#,##0.00\)</c:formatCode>
                <c:ptCount val="6"/>
                <c:pt idx="0">
                  <c:v>10993.126</c:v>
                </c:pt>
                <c:pt idx="1">
                  <c:v>20999.606</c:v>
                </c:pt>
                <c:pt idx="2">
                  <c:v>7038.1695589999999</c:v>
                </c:pt>
                <c:pt idx="3">
                  <c:v>39963.397012999994</c:v>
                </c:pt>
                <c:pt idx="4">
                  <c:v>60596.942041999995</c:v>
                </c:pt>
                <c:pt idx="5">
                  <c:v>45426.36047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F9E-4107-B875-D2220A46D07D}"/>
            </c:ext>
          </c:extLst>
        </c:ser>
        <c:ser>
          <c:idx val="1"/>
          <c:order val="3"/>
          <c:tx>
            <c:strRef>
              <c:f>'Figure 5bsa'!$A$5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'Figure 5bsa'!$B$1:$G$1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5bsa'!$B$5:$G$5</c:f>
              <c:numCache>
                <c:formatCode>#,##0.00_);\(#,##0.00\)</c:formatCode>
                <c:ptCount val="6"/>
                <c:pt idx="0">
                  <c:v>8.0750000000000006E-3</c:v>
                </c:pt>
                <c:pt idx="1">
                  <c:v>0</c:v>
                </c:pt>
                <c:pt idx="2">
                  <c:v>0</c:v>
                </c:pt>
                <c:pt idx="3">
                  <c:v>8003.0268500000002</c:v>
                </c:pt>
                <c:pt idx="4">
                  <c:v>11314.714185000001</c:v>
                </c:pt>
                <c:pt idx="5">
                  <c:v>38848.06912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F9E-4107-B875-D2220A46D07D}"/>
            </c:ext>
          </c:extLst>
        </c:ser>
        <c:ser>
          <c:idx val="5"/>
          <c:order val="4"/>
          <c:tx>
            <c:strRef>
              <c:f>'Figure 5bsa'!$A$6</c:f>
              <c:strCache>
                <c:ptCount val="1"/>
                <c:pt idx="0">
                  <c:v>Belgium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5bsa'!$B$1:$G$1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5bsa'!$B$6:$G$6</c:f>
              <c:numCache>
                <c:formatCode>#,##0.00_);\(#,##0.00\)</c:formatCode>
                <c:ptCount val="6"/>
                <c:pt idx="0">
                  <c:v>3.6779999999999999</c:v>
                </c:pt>
                <c:pt idx="1">
                  <c:v>2419.5626500000003</c:v>
                </c:pt>
                <c:pt idx="2">
                  <c:v>17004.961799999997</c:v>
                </c:pt>
                <c:pt idx="3">
                  <c:v>19468.893039999999</c:v>
                </c:pt>
                <c:pt idx="4">
                  <c:v>197.642</c:v>
                </c:pt>
                <c:pt idx="5">
                  <c:v>0.14600000000000002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F9E-4107-B875-D2220A46D07D}"/>
            </c:ext>
          </c:extLst>
        </c:ser>
        <c:ser>
          <c:idx val="3"/>
          <c:order val="5"/>
          <c:tx>
            <c:strRef>
              <c:f>'Figure 5bsa'!$A$7</c:f>
              <c:strCache>
                <c:ptCount val="1"/>
                <c:pt idx="0">
                  <c:v>ROW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5bsa'!$B$1:$G$1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5bsa'!$B$7:$G$7</c:f>
              <c:numCache>
                <c:formatCode>#,##0.00_);\(#,##0.00\)</c:formatCode>
                <c:ptCount val="6"/>
                <c:pt idx="0">
                  <c:v>11389.343433999922</c:v>
                </c:pt>
                <c:pt idx="1">
                  <c:v>10328.383027000003</c:v>
                </c:pt>
                <c:pt idx="2">
                  <c:v>9936.1591430000262</c:v>
                </c:pt>
                <c:pt idx="3">
                  <c:v>7278.0873979999451</c:v>
                </c:pt>
                <c:pt idx="4">
                  <c:v>33172.84613000002</c:v>
                </c:pt>
                <c:pt idx="5">
                  <c:v>66622.598750999954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F9E-4107-B875-D2220A46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39003569759259543"/>
              <c:y val="0.8313960338291048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 sz="900"/>
              </a:p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Metric tons (thousand)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8.4685182180206601E-3"/>
              <c:y val="6.264081168958357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2358940207100984"/>
          <c:y val="0.36885076386402132"/>
          <c:w val="0.17049302416699008"/>
          <c:h val="0.34171457009223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6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U.S. imports of vegetable oils, MY 2014/15–2022/23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4.3992938382702157E-3"/>
          <c:y val="2.292654065723799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298786818495342E-2"/>
          <c:y val="0.17628667233929823"/>
          <c:w val="0.88226062160336627"/>
          <c:h val="0.515443267433297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6sa'!$D$1</c:f>
              <c:strCache>
                <c:ptCount val="1"/>
                <c:pt idx="0">
                  <c:v>Palm oil</c:v>
                </c:pt>
              </c:strCache>
            </c:strRef>
          </c:tx>
          <c:spPr>
            <a:solidFill>
              <a:srgbClr val="984807"/>
            </a:solidFill>
            <a:ln w="38100">
              <a:noFill/>
            </a:ln>
            <a:effectLst/>
          </c:spPr>
          <c:invertIfNegative val="0"/>
          <c:cat>
            <c:strRef>
              <c:f>'Figure 6sa'!$A$2:$A$10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6sa'!$D$2:$D$10</c:f>
              <c:numCache>
                <c:formatCode>#,##0_);\(#,##0\)</c:formatCode>
                <c:ptCount val="9"/>
                <c:pt idx="0">
                  <c:v>2519424.9650460002</c:v>
                </c:pt>
                <c:pt idx="1">
                  <c:v>2881838.9194539995</c:v>
                </c:pt>
                <c:pt idx="2">
                  <c:v>3012787.1745179999</c:v>
                </c:pt>
                <c:pt idx="3">
                  <c:v>3365345.8161399998</c:v>
                </c:pt>
                <c:pt idx="4">
                  <c:v>3365138.8023219998</c:v>
                </c:pt>
                <c:pt idx="5">
                  <c:v>3312534.3645020002</c:v>
                </c:pt>
                <c:pt idx="6">
                  <c:v>3475472.758076</c:v>
                </c:pt>
                <c:pt idx="7">
                  <c:v>3500587.7891160003</c:v>
                </c:pt>
                <c:pt idx="8">
                  <c:v>4160502.2052660002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A624-4263-B847-5017BE685FFA}"/>
            </c:ext>
          </c:extLst>
        </c:ser>
        <c:ser>
          <c:idx val="2"/>
          <c:order val="1"/>
          <c:tx>
            <c:strRef>
              <c:f>'Figure 6sa'!$B$1</c:f>
              <c:strCache>
                <c:ptCount val="1"/>
                <c:pt idx="0">
                  <c:v>Soybean oil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'Figure 6sa'!$A$2:$A$10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6sa'!$B$2:$B$10</c:f>
              <c:numCache>
                <c:formatCode>#,##0_);\(#,##0\)</c:formatCode>
                <c:ptCount val="9"/>
                <c:pt idx="0">
                  <c:v>264321.15120399999</c:v>
                </c:pt>
                <c:pt idx="1">
                  <c:v>286552.98020799999</c:v>
                </c:pt>
                <c:pt idx="2">
                  <c:v>318710.89029999997</c:v>
                </c:pt>
                <c:pt idx="3">
                  <c:v>335299.77395200002</c:v>
                </c:pt>
                <c:pt idx="4">
                  <c:v>397261.50089999998</c:v>
                </c:pt>
                <c:pt idx="5">
                  <c:v>319929.16331199999</c:v>
                </c:pt>
                <c:pt idx="6">
                  <c:v>301723.85227599996</c:v>
                </c:pt>
                <c:pt idx="7">
                  <c:v>302965.05333599995</c:v>
                </c:pt>
                <c:pt idx="8">
                  <c:v>375698.99452800001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A624-4263-B847-5017BE685FFA}"/>
            </c:ext>
          </c:extLst>
        </c:ser>
        <c:ser>
          <c:idx val="5"/>
          <c:order val="2"/>
          <c:tx>
            <c:strRef>
              <c:f>'Figure 6sa'!$C$1</c:f>
              <c:strCache>
                <c:ptCount val="1"/>
                <c:pt idx="0">
                  <c:v>Rapeseed oil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6sa'!$A$2:$A$10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6sa'!$C$2:$C$10</c:f>
              <c:numCache>
                <c:formatCode>#,##0_);\(#,##0\)</c:formatCode>
                <c:ptCount val="9"/>
                <c:pt idx="0">
                  <c:v>3691923.8929099999</c:v>
                </c:pt>
                <c:pt idx="1">
                  <c:v>3962052.2336560003</c:v>
                </c:pt>
                <c:pt idx="2">
                  <c:v>4410238.4723979998</c:v>
                </c:pt>
                <c:pt idx="3">
                  <c:v>4083047.9521919996</c:v>
                </c:pt>
                <c:pt idx="4">
                  <c:v>3911406.3802439994</c:v>
                </c:pt>
                <c:pt idx="5">
                  <c:v>4028999.9291960001</c:v>
                </c:pt>
                <c:pt idx="6">
                  <c:v>4117116.1655139998</c:v>
                </c:pt>
                <c:pt idx="7">
                  <c:v>4418577.2270860001</c:v>
                </c:pt>
                <c:pt idx="8">
                  <c:v>6271318.4902720004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A624-4263-B847-5017BE685FFA}"/>
            </c:ext>
          </c:extLst>
        </c:ser>
        <c:ser>
          <c:idx val="3"/>
          <c:order val="3"/>
          <c:tx>
            <c:strRef>
              <c:f>'Figure 6sa'!$E$1</c:f>
              <c:strCache>
                <c:ptCount val="1"/>
                <c:pt idx="0">
                  <c:v>Sunflowerseed oil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6sa'!$A$2:$A$10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6sa'!$E$2:$E$10</c:f>
              <c:numCache>
                <c:formatCode>#,##0_);\(#,##0\)</c:formatCode>
                <c:ptCount val="9"/>
                <c:pt idx="0">
                  <c:v>176881.95368799998</c:v>
                </c:pt>
                <c:pt idx="1">
                  <c:v>92753.434026000003</c:v>
                </c:pt>
                <c:pt idx="2">
                  <c:v>119833.663334</c:v>
                </c:pt>
                <c:pt idx="3">
                  <c:v>160808.95111599998</c:v>
                </c:pt>
                <c:pt idx="4">
                  <c:v>131463.474758</c:v>
                </c:pt>
                <c:pt idx="5">
                  <c:v>372439.68432</c:v>
                </c:pt>
                <c:pt idx="6">
                  <c:v>294587.93825999997</c:v>
                </c:pt>
                <c:pt idx="7">
                  <c:v>450175.02644399996</c:v>
                </c:pt>
                <c:pt idx="8">
                  <c:v>335960.27810400003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A624-4263-B847-5017BE685FFA}"/>
            </c:ext>
          </c:extLst>
        </c:ser>
        <c:ser>
          <c:idx val="4"/>
          <c:order val="4"/>
          <c:tx>
            <c:strRef>
              <c:f>'Figure 6sa'!$G$1</c:f>
              <c:strCache>
                <c:ptCount val="1"/>
                <c:pt idx="0">
                  <c:v>Other oils*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6sa'!$A$2:$A$10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6sa'!$G$2:$G$10</c:f>
              <c:numCache>
                <c:formatCode>#,##0_);\(#,##0\)</c:formatCode>
                <c:ptCount val="9"/>
                <c:pt idx="0">
                  <c:v>2698536.8918639999</c:v>
                </c:pt>
                <c:pt idx="1">
                  <c:v>2723581.154602</c:v>
                </c:pt>
                <c:pt idx="2">
                  <c:v>2588406.8634600001</c:v>
                </c:pt>
                <c:pt idx="3">
                  <c:v>2591057.2576239998</c:v>
                </c:pt>
                <c:pt idx="4">
                  <c:v>2543485.5263400003</c:v>
                </c:pt>
                <c:pt idx="5">
                  <c:v>2770368.9230139991</c:v>
                </c:pt>
                <c:pt idx="6">
                  <c:v>2749644.3927039998</c:v>
                </c:pt>
                <c:pt idx="7">
                  <c:v>2919251.7617779993</c:v>
                </c:pt>
                <c:pt idx="8">
                  <c:v>2667511.0541419997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A624-4263-B847-5017BE685FFA}"/>
            </c:ext>
          </c:extLst>
        </c:ser>
        <c:ser>
          <c:idx val="1"/>
          <c:order val="5"/>
          <c:tx>
            <c:strRef>
              <c:f>'Figure 6sa'!$F$1</c:f>
              <c:strCache>
                <c:ptCount val="1"/>
                <c:pt idx="0">
                  <c:v>Corn oil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'Figure 6sa'!$A$2:$A$10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6sa'!$F$2:$F$10</c:f>
              <c:numCache>
                <c:formatCode>#,##0_);\(#,##0\)</c:formatCode>
                <c:ptCount val="9"/>
                <c:pt idx="0">
                  <c:v>38809.469094</c:v>
                </c:pt>
                <c:pt idx="1">
                  <c:v>82835.069107999996</c:v>
                </c:pt>
                <c:pt idx="2">
                  <c:v>73000.700211999996</c:v>
                </c:pt>
                <c:pt idx="3">
                  <c:v>62467.466775999994</c:v>
                </c:pt>
                <c:pt idx="4">
                  <c:v>64351.975951999993</c:v>
                </c:pt>
                <c:pt idx="5">
                  <c:v>54213.589957999997</c:v>
                </c:pt>
                <c:pt idx="6">
                  <c:v>51294.232153999998</c:v>
                </c:pt>
                <c:pt idx="7">
                  <c:v>155465.83408399997</c:v>
                </c:pt>
                <c:pt idx="8">
                  <c:v>179952.32796200001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624-4263-B847-5017BE685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 (MY)</a:t>
                </a:r>
              </a:p>
            </c:rich>
          </c:tx>
          <c:layout>
            <c:manualLayout>
              <c:xMode val="edge"/>
              <c:yMode val="edge"/>
              <c:x val="0.39601929559138549"/>
              <c:y val="0.816579745713603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 sz="900"/>
              </a:p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pounds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8.4684726909136365E-3"/>
              <c:y val="6.854101196991631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dispUnits>
          <c:builtInUnit val="millions"/>
        </c:dispUnits>
      </c:valAx>
    </c:plotArea>
    <c:legend>
      <c:legendPos val="t"/>
      <c:layout>
        <c:manualLayout>
          <c:xMode val="edge"/>
          <c:yMode val="edge"/>
          <c:x val="0.15704916701263263"/>
          <c:y val="0.12131029075910965"/>
          <c:w val="0.8097284138048263"/>
          <c:h val="5.24310570646124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7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U.S. imports of processed oils by country, MY 2014/15–2022/23 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4.3992938382702157E-3"/>
          <c:y val="2.292654065723799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15120901482512E-2"/>
          <c:y val="0.20310646514013334"/>
          <c:w val="0.88454757049022392"/>
          <c:h val="0.415586996937882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7sa'!$D$1</c:f>
              <c:strCache>
                <c:ptCount val="1"/>
                <c:pt idx="0">
                  <c:v>Australia</c:v>
                </c:pt>
              </c:strCache>
            </c:strRef>
          </c:tx>
          <c:spPr>
            <a:solidFill>
              <a:srgbClr val="984807"/>
            </a:solidFill>
            <a:ln w="38100">
              <a:noFill/>
            </a:ln>
            <a:effectLst/>
          </c:spPr>
          <c:invertIfNegative val="0"/>
          <c:cat>
            <c:strRef>
              <c:f>'Figure 7sa'!$A$2:$A$10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7sa'!$D$2:$D$10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1772.955404</c:v>
                </c:pt>
                <c:pt idx="2">
                  <c:v>7015.9826879999991</c:v>
                </c:pt>
                <c:pt idx="3">
                  <c:v>7650.6927860000005</c:v>
                </c:pt>
                <c:pt idx="4">
                  <c:v>7324.4090260000003</c:v>
                </c:pt>
                <c:pt idx="5">
                  <c:v>1817.047804</c:v>
                </c:pt>
                <c:pt idx="6">
                  <c:v>0</c:v>
                </c:pt>
                <c:pt idx="7">
                  <c:v>98078.032249999989</c:v>
                </c:pt>
                <c:pt idx="8">
                  <c:v>257788.64168199999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7D62-4B4A-BA88-7D565BEA8F1D}"/>
            </c:ext>
          </c:extLst>
        </c:ser>
        <c:ser>
          <c:idx val="2"/>
          <c:order val="1"/>
          <c:tx>
            <c:strRef>
              <c:f>'Figure 7sa'!$B$1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'Figure 7sa'!$A$2:$A$10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7sa'!$B$2:$B$10</c:f>
              <c:numCache>
                <c:formatCode>_(* #,##0_);_(* \(#,##0\);_(* "-"??_);_(@_)</c:formatCode>
                <c:ptCount val="9"/>
                <c:pt idx="0">
                  <c:v>544.54113999999993</c:v>
                </c:pt>
                <c:pt idx="1">
                  <c:v>505.078442</c:v>
                </c:pt>
                <c:pt idx="2">
                  <c:v>297.18277599999999</c:v>
                </c:pt>
                <c:pt idx="3">
                  <c:v>459.88373200000001</c:v>
                </c:pt>
                <c:pt idx="4">
                  <c:v>186.069928</c:v>
                </c:pt>
                <c:pt idx="5">
                  <c:v>364.20322399999998</c:v>
                </c:pt>
                <c:pt idx="6">
                  <c:v>254.85407199999997</c:v>
                </c:pt>
                <c:pt idx="7">
                  <c:v>140.87521799999999</c:v>
                </c:pt>
                <c:pt idx="8">
                  <c:v>939381.74767800001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7D62-4B4A-BA88-7D565BEA8F1D}"/>
            </c:ext>
          </c:extLst>
        </c:ser>
        <c:ser>
          <c:idx val="5"/>
          <c:order val="2"/>
          <c:tx>
            <c:strRef>
              <c:f>'Figure 7sa'!$C$1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7sa'!$A$2:$A$10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7sa'!$C$2:$C$10</c:f>
              <c:numCache>
                <c:formatCode>_(* #,##0_);_(* \(#,##0\);_(* "-"??_);_(@_)</c:formatCode>
                <c:ptCount val="9"/>
                <c:pt idx="0">
                  <c:v>37925.196011999993</c:v>
                </c:pt>
                <c:pt idx="1">
                  <c:v>41166.648798000002</c:v>
                </c:pt>
                <c:pt idx="2">
                  <c:v>59115.562528000002</c:v>
                </c:pt>
                <c:pt idx="3">
                  <c:v>87272.307782000003</c:v>
                </c:pt>
                <c:pt idx="4">
                  <c:v>144321.03905999998</c:v>
                </c:pt>
                <c:pt idx="5">
                  <c:v>174678.21553599997</c:v>
                </c:pt>
                <c:pt idx="6">
                  <c:v>197368.16457599998</c:v>
                </c:pt>
                <c:pt idx="7">
                  <c:v>447122.95051599992</c:v>
                </c:pt>
                <c:pt idx="8">
                  <c:v>561658.03014199995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7D62-4B4A-BA88-7D565BEA8F1D}"/>
            </c:ext>
          </c:extLst>
        </c:ser>
        <c:ser>
          <c:idx val="3"/>
          <c:order val="3"/>
          <c:tx>
            <c:strRef>
              <c:f>'Figure 7sa'!$E$1</c:f>
              <c:strCache>
                <c:ptCount val="1"/>
                <c:pt idx="0">
                  <c:v>New Zealand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7sa'!$A$2:$A$10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7sa'!$E$2:$E$10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8446.3401439999998</c:v>
                </c:pt>
                <c:pt idx="8">
                  <c:v>180540.74103999999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7D62-4B4A-BA88-7D565BEA8F1D}"/>
            </c:ext>
          </c:extLst>
        </c:ser>
        <c:ser>
          <c:idx val="1"/>
          <c:order val="4"/>
          <c:tx>
            <c:strRef>
              <c:f>'Figure 7sa'!$F$1</c:f>
              <c:strCache>
                <c:ptCount val="1"/>
                <c:pt idx="0">
                  <c:v>Mexico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7sa'!$A$2:$A$10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7sa'!$F$2:$F$10</c:f>
              <c:numCache>
                <c:formatCode>_(* #,##0_);_(* \(#,##0\);_(* "-"??_);_(@_)</c:formatCode>
                <c:ptCount val="9"/>
                <c:pt idx="0">
                  <c:v>1.7636959999999999</c:v>
                </c:pt>
                <c:pt idx="1">
                  <c:v>138.00921199999999</c:v>
                </c:pt>
                <c:pt idx="2">
                  <c:v>1648.6148359999997</c:v>
                </c:pt>
                <c:pt idx="3">
                  <c:v>6480.480489999999</c:v>
                </c:pt>
                <c:pt idx="4">
                  <c:v>16878.350257999999</c:v>
                </c:pt>
                <c:pt idx="5">
                  <c:v>14307.101951999999</c:v>
                </c:pt>
                <c:pt idx="6">
                  <c:v>12399.885190000001</c:v>
                </c:pt>
                <c:pt idx="7">
                  <c:v>8804.590893999999</c:v>
                </c:pt>
                <c:pt idx="8">
                  <c:v>122708.92873799999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D62-4B4A-BA88-7D565BEA8F1D}"/>
            </c:ext>
          </c:extLst>
        </c:ser>
        <c:ser>
          <c:idx val="4"/>
          <c:order val="5"/>
          <c:tx>
            <c:strRef>
              <c:f>'Figure 7sa'!$G$1</c:f>
              <c:strCache>
                <c:ptCount val="1"/>
                <c:pt idx="0">
                  <c:v>ROW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7sa'!$A$2:$A$10</c:f>
              <c:strCache>
                <c:ptCount val="9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</c:strCache>
            </c:strRef>
          </c:cat>
          <c:val>
            <c:numRef>
              <c:f>'Figure 7sa'!$G$2:$G$10</c:f>
              <c:numCache>
                <c:formatCode>_(* #,##0_);_(* \(#,##0\);_(* "-"??_);_(@_)</c:formatCode>
                <c:ptCount val="9"/>
                <c:pt idx="0">
                  <c:v>4051.2097120000039</c:v>
                </c:pt>
                <c:pt idx="1">
                  <c:v>4369.3363779999991</c:v>
                </c:pt>
                <c:pt idx="2">
                  <c:v>7165.4559239999826</c:v>
                </c:pt>
                <c:pt idx="3">
                  <c:v>9456.4970280000016</c:v>
                </c:pt>
                <c:pt idx="4">
                  <c:v>11992.471414000003</c:v>
                </c:pt>
                <c:pt idx="5">
                  <c:v>7707.5719819999958</c:v>
                </c:pt>
                <c:pt idx="6">
                  <c:v>15794.11814200001</c:v>
                </c:pt>
                <c:pt idx="7">
                  <c:v>51415.265792000166</c:v>
                </c:pt>
                <c:pt idx="8">
                  <c:v>263264.69730000017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D62-4B4A-BA88-7D565BEA8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 (MY)</a:t>
                </a:r>
              </a:p>
            </c:rich>
          </c:tx>
          <c:layout>
            <c:manualLayout>
              <c:xMode val="edge"/>
              <c:yMode val="edge"/>
              <c:x val="0.42221180888974247"/>
              <c:y val="0.756897965879265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 sz="900"/>
              </a:p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Billion pounds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8.4684726909136365E-3"/>
              <c:y val="6.854101196991631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_);\(#,##0.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dispUnits>
          <c:builtInUnit val="millions"/>
        </c:dispUnits>
      </c:valAx>
    </c:plotArea>
    <c:legend>
      <c:legendPos val="t"/>
      <c:layout>
        <c:manualLayout>
          <c:xMode val="edge"/>
          <c:yMode val="edge"/>
          <c:x val="0.15050400003601608"/>
          <c:y val="0.1182429782484086"/>
          <c:w val="0.84492340830700152"/>
          <c:h val="5.24310570646124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606104</xdr:colOff>
      <xdr:row>0</xdr:row>
      <xdr:rowOff>16934</xdr:rowOff>
    </xdr:from>
    <xdr:to>
      <xdr:col>15</xdr:col>
      <xdr:colOff>397933</xdr:colOff>
      <xdr:row>23</xdr:row>
      <xdr:rowOff>33866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53C37C3-C0BF-4DD7-AB9D-884DCBAB4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0.86214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759199"/>
          <a:ext cx="6361962" cy="601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forecast.</a:t>
          </a: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USDA,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 and Distribution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December 2023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594360</xdr:colOff>
      <xdr:row>0</xdr:row>
      <xdr:rowOff>0</xdr:rowOff>
    </xdr:from>
    <xdr:to>
      <xdr:col>16</xdr:col>
      <xdr:colOff>272634</xdr:colOff>
      <xdr:row>22</xdr:row>
      <xdr:rowOff>114300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7E9ADE6-2A79-49F5-A975-3B31265AB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0.86924</cdr:y>
    </cdr:from>
    <cdr:to>
      <cdr:x>1</cdr:x>
      <cdr:y>0.98895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596640"/>
          <a:ext cx="6079074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9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 Agricultural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Marketing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National Grain and Oilseed Processor Feedstuff Report.</a:t>
          </a:r>
          <a:endParaRPr lang="en-US" sz="9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</xdr:colOff>
      <xdr:row>0</xdr:row>
      <xdr:rowOff>0</xdr:rowOff>
    </xdr:from>
    <xdr:to>
      <xdr:col>18</xdr:col>
      <xdr:colOff>396239</xdr:colOff>
      <xdr:row>22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24A7F5-32D6-4C58-8B3D-37AB7487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0.83828</cdr:y>
    </cdr:from>
    <cdr:to>
      <cdr:x>1</cdr:x>
      <cdr:y>0.99222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25801"/>
          <a:ext cx="6485889" cy="592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MY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= Marketing year.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Note: Soybean oil,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canola oil, and corn oil account for approximatly 64 percent of estimated total feedstocks used in biofuel production in MY 2022/23. Fats, poultry and animal feedstock categories are excluded.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U.S.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Department of Energy, U.S. Energy Information Administration,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Monthly Energy Review 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Feedstocks consumed for production of biofuels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November 2023.</a:t>
          </a:r>
          <a:endParaRPr lang="en-US" sz="8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104774</xdr:rowOff>
    </xdr:from>
    <xdr:to>
      <xdr:col>15</xdr:col>
      <xdr:colOff>419100</xdr:colOff>
      <xdr:row>18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9FCC6A-2443-1C12-FF5E-C7497B9C3D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0.86558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324225"/>
          <a:ext cx="5772150" cy="516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 Asterisk (*) denotes forecast.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Service using data from USDA,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World Agricultural Outlook Board,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World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Agricultural Supply and Demand Estimates.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598169</xdr:colOff>
      <xdr:row>0</xdr:row>
      <xdr:rowOff>0</xdr:rowOff>
    </xdr:from>
    <xdr:to>
      <xdr:col>17</xdr:col>
      <xdr:colOff>152399</xdr:colOff>
      <xdr:row>20</xdr:row>
      <xdr:rowOff>19051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8548A6-8AD6-6C76-BB8C-A6995D5CD8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0.87855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183255"/>
          <a:ext cx="6419851" cy="440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MY = Marketing year. FOB = Free on board.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International Grains Council 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22859</xdr:colOff>
      <xdr:row>0</xdr:row>
      <xdr:rowOff>2</xdr:rowOff>
    </xdr:from>
    <xdr:to>
      <xdr:col>19</xdr:col>
      <xdr:colOff>329565</xdr:colOff>
      <xdr:row>21</xdr:row>
      <xdr:rowOff>38101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233652-DA3E-A991-265E-B82BC5B1C6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0.86797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381373"/>
          <a:ext cx="6402706" cy="514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ROW=Rest of world. MY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=Marketing year.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Service using data from USDA,Foreign Agricultural Service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Global Agriculture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Trade System.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</xdr:colOff>
      <xdr:row>0</xdr:row>
      <xdr:rowOff>0</xdr:rowOff>
    </xdr:from>
    <xdr:to>
      <xdr:col>16</xdr:col>
      <xdr:colOff>274320</xdr:colOff>
      <xdr:row>17</xdr:row>
      <xdr:rowOff>148591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424C4B-E4EE-581A-656B-65882E6BA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0.89552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857501"/>
          <a:ext cx="4886325" cy="333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ROW=Rest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of the world.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Trade Data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Monitor LLC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592455</xdr:colOff>
      <xdr:row>0</xdr:row>
      <xdr:rowOff>0</xdr:rowOff>
    </xdr:from>
    <xdr:to>
      <xdr:col>17</xdr:col>
      <xdr:colOff>325755</xdr:colOff>
      <xdr:row>21</xdr:row>
      <xdr:rowOff>72389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FFDEBE-4B54-278D-1984-8FFB403E05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0.88889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048000"/>
          <a:ext cx="486727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ROW=Rest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of world. MY= Marketing year.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Trade Data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Monitor LLC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607694</xdr:colOff>
      <xdr:row>0</xdr:row>
      <xdr:rowOff>0</xdr:rowOff>
    </xdr:from>
    <xdr:to>
      <xdr:col>19</xdr:col>
      <xdr:colOff>577215</xdr:colOff>
      <xdr:row>24</xdr:row>
      <xdr:rowOff>17146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E4D664-A7B4-7AD9-9F09-37727B2397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0.86588</cdr:y>
    </cdr:from>
    <cdr:to>
      <cdr:x>1</cdr:x>
      <cdr:y>1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505200"/>
          <a:ext cx="5819776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*Other oils=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Cottonseed oil, coconut oil, olive oil, palm kernel oil, and peanut oil. MY= Marketing year.</a:t>
          </a:r>
        </a:p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Foreign Agricultural Service, Global Agricultural Trade System (GATS).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605789</xdr:colOff>
      <xdr:row>0</xdr:row>
      <xdr:rowOff>38100</xdr:rowOff>
    </xdr:from>
    <xdr:to>
      <xdr:col>18</xdr:col>
      <xdr:colOff>367664</xdr:colOff>
      <xdr:row>21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2D81C-9D40-2B04-1B8E-4DD8C8463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0.80833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956560"/>
          <a:ext cx="5857875" cy="701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ROW=Rest of world. MY=Marketing year.</a:t>
          </a:r>
        </a:p>
        <a:p xmlns:a="http://schemas.openxmlformats.org/drawingml/2006/main"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Harmonized System Code 1518004000 defined as:animal and vegetable fats and oils and their fractions, boiled, oxidized, dehydrated, sulfurized, etc. or otherwise chemically modified excluding heading 1516</a:t>
          </a:r>
          <a:r>
            <a:rPr kumimoji="0" lang="en-US" sz="9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Foreign Agricultural Service, Global Agricultural Trade System (GATS).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/>
  </sheetViews>
  <sheetFormatPr defaultColWidth="9.6640625" defaultRowHeight="13.8"/>
  <cols>
    <col min="1" max="1" width="166.88671875" style="12" customWidth="1"/>
    <col min="2" max="16384" width="9.6640625" style="1"/>
  </cols>
  <sheetData>
    <row r="1" spans="1:3">
      <c r="A1" s="7" t="s">
        <v>0</v>
      </c>
      <c r="B1" s="93"/>
      <c r="C1" s="93"/>
    </row>
    <row r="2" spans="1:3" s="2" customFormat="1">
      <c r="A2" s="8"/>
    </row>
    <row r="3" spans="1:3">
      <c r="A3" s="10" t="s">
        <v>1</v>
      </c>
      <c r="B3" s="3"/>
      <c r="C3" s="2"/>
    </row>
    <row r="4" spans="1:3">
      <c r="A4" s="10" t="s">
        <v>2</v>
      </c>
      <c r="B4" s="4"/>
      <c r="C4" s="93"/>
    </row>
    <row r="5" spans="1:3">
      <c r="A5" s="10" t="s">
        <v>3</v>
      </c>
      <c r="B5" s="4"/>
      <c r="C5" s="93"/>
    </row>
    <row r="6" spans="1:3">
      <c r="A6" s="10" t="s">
        <v>4</v>
      </c>
      <c r="B6" s="4"/>
      <c r="C6" s="93"/>
    </row>
    <row r="7" spans="1:3">
      <c r="A7" s="10" t="s">
        <v>5</v>
      </c>
      <c r="B7" s="4"/>
      <c r="C7" s="93"/>
    </row>
    <row r="8" spans="1:3">
      <c r="A8" s="10" t="s">
        <v>6</v>
      </c>
      <c r="B8" s="4"/>
      <c r="C8" s="93"/>
    </row>
    <row r="9" spans="1:3">
      <c r="A9" s="10" t="s">
        <v>7</v>
      </c>
      <c r="B9" s="4"/>
      <c r="C9" s="93"/>
    </row>
    <row r="10" spans="1:3">
      <c r="A10" s="10" t="s">
        <v>8</v>
      </c>
      <c r="B10" s="4"/>
      <c r="C10" s="93"/>
    </row>
    <row r="11" spans="1:3">
      <c r="A11" s="10" t="s">
        <v>9</v>
      </c>
      <c r="B11" s="4"/>
      <c r="C11" s="93"/>
    </row>
    <row r="12" spans="1:3">
      <c r="A12" s="10" t="s">
        <v>10</v>
      </c>
      <c r="B12" s="4"/>
      <c r="C12" s="93"/>
    </row>
    <row r="13" spans="1:3">
      <c r="A13" s="11" t="s">
        <v>11</v>
      </c>
      <c r="B13" s="4"/>
      <c r="C13" s="93"/>
    </row>
    <row r="14" spans="1:3" ht="13.2">
      <c r="A14" s="93"/>
      <c r="B14" s="93"/>
      <c r="C14" s="93"/>
    </row>
    <row r="15" spans="1:3">
      <c r="A15" s="7" t="s">
        <v>12</v>
      </c>
      <c r="B15" s="93"/>
      <c r="C15" s="93"/>
    </row>
    <row r="16" spans="1:3">
      <c r="A16" s="9">
        <v>45272</v>
      </c>
      <c r="B16" s="93"/>
      <c r="C16" s="93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7"/>
  <sheetViews>
    <sheetView showGridLines="0" zoomScale="70" zoomScaleNormal="70" workbookViewId="0">
      <pane xSplit="1" ySplit="4" topLeftCell="B5" activePane="bottomRight" state="frozen"/>
      <selection pane="topRight" activeCell="A43" sqref="A43"/>
      <selection pane="bottomLeft" activeCell="A43" sqref="A43"/>
      <selection pane="bottomRight"/>
    </sheetView>
  </sheetViews>
  <sheetFormatPr defaultColWidth="9.109375" defaultRowHeight="13.2"/>
  <cols>
    <col min="1" max="1" width="21.6640625" customWidth="1"/>
    <col min="2" max="2" width="14.109375" customWidth="1"/>
    <col min="3" max="3" width="9.5546875" customWidth="1"/>
    <col min="4" max="4" width="26.6640625" customWidth="1"/>
    <col min="5" max="5" width="9.6640625" customWidth="1"/>
    <col min="6" max="6" width="10.6640625" customWidth="1"/>
    <col min="7" max="7" width="19.88671875" customWidth="1"/>
    <col min="8" max="8" width="9.6640625" customWidth="1"/>
    <col min="9" max="9" width="1.6640625" customWidth="1"/>
    <col min="10" max="10" width="14.6640625" customWidth="1"/>
    <col min="11" max="12" width="10.6640625" customWidth="1"/>
    <col min="13" max="13" width="10.33203125" customWidth="1"/>
    <col min="14" max="14" width="9.6640625" customWidth="1"/>
    <col min="17" max="17" width="15.44140625" bestFit="1" customWidth="1"/>
    <col min="18" max="18" width="13.33203125" bestFit="1" customWidth="1"/>
    <col min="22" max="22" width="12.109375" customWidth="1"/>
    <col min="24" max="24" width="10.44140625" bestFit="1" customWidth="1"/>
  </cols>
  <sheetData>
    <row r="1" spans="1:23" ht="13.8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3.8">
      <c r="A2" s="15"/>
      <c r="B2" s="16" t="s">
        <v>13</v>
      </c>
      <c r="C2" s="123"/>
      <c r="D2" s="17" t="s">
        <v>14</v>
      </c>
      <c r="E2" s="18"/>
      <c r="F2" s="123" t="s">
        <v>15</v>
      </c>
      <c r="G2" s="123"/>
      <c r="H2" s="123"/>
      <c r="I2" s="15"/>
      <c r="J2" s="18"/>
      <c r="K2" s="123"/>
      <c r="L2" s="19" t="s">
        <v>16</v>
      </c>
      <c r="M2" s="123"/>
      <c r="N2" s="15"/>
    </row>
    <row r="3" spans="1:23" ht="13.8">
      <c r="A3" s="15" t="s">
        <v>17</v>
      </c>
      <c r="B3" s="17" t="s">
        <v>18</v>
      </c>
      <c r="C3" s="15" t="s">
        <v>19</v>
      </c>
      <c r="D3" s="17"/>
      <c r="E3" s="20" t="s">
        <v>20</v>
      </c>
      <c r="F3" s="20"/>
      <c r="G3" s="20"/>
      <c r="H3" s="20"/>
      <c r="I3" s="20"/>
      <c r="J3" s="17" t="s">
        <v>21</v>
      </c>
      <c r="K3" s="20" t="s">
        <v>22</v>
      </c>
      <c r="L3" s="20"/>
      <c r="M3" s="20"/>
      <c r="N3" s="20" t="s">
        <v>23</v>
      </c>
    </row>
    <row r="4" spans="1:23" ht="13.8">
      <c r="A4" s="21" t="s">
        <v>24</v>
      </c>
      <c r="B4" s="22"/>
      <c r="C4" s="22"/>
      <c r="D4" s="22"/>
      <c r="E4" s="23" t="s">
        <v>25</v>
      </c>
      <c r="F4" s="23" t="s">
        <v>26</v>
      </c>
      <c r="G4" s="24" t="s">
        <v>27</v>
      </c>
      <c r="H4" s="25" t="s">
        <v>28</v>
      </c>
      <c r="I4" s="24"/>
      <c r="J4" s="24"/>
      <c r="K4" s="24" t="s">
        <v>29</v>
      </c>
      <c r="L4" s="25" t="s">
        <v>30</v>
      </c>
      <c r="M4" s="23" t="s">
        <v>28</v>
      </c>
      <c r="N4" s="24" t="s">
        <v>25</v>
      </c>
      <c r="W4" s="26"/>
    </row>
    <row r="5" spans="1:23" ht="14.4">
      <c r="A5" s="15"/>
      <c r="B5" s="27" t="s">
        <v>31</v>
      </c>
      <c r="C5" s="124"/>
      <c r="D5" s="28" t="s">
        <v>32</v>
      </c>
      <c r="G5" s="27"/>
      <c r="I5" s="27"/>
      <c r="J5" s="27" t="s">
        <v>33</v>
      </c>
      <c r="K5" s="27"/>
      <c r="L5" s="27"/>
      <c r="M5" s="27"/>
      <c r="N5" s="27"/>
      <c r="W5" s="26"/>
    </row>
    <row r="6" spans="1:23" ht="16.5" customHeight="1">
      <c r="A6" s="15" t="s">
        <v>34</v>
      </c>
      <c r="B6" s="29">
        <v>87.194999999999993</v>
      </c>
      <c r="C6" s="29">
        <v>86.311999999999998</v>
      </c>
      <c r="D6" s="29">
        <f>F6/C6</f>
        <v>51.735355454629712</v>
      </c>
      <c r="E6" s="30">
        <v>256.97899999999998</v>
      </c>
      <c r="F6" s="31">
        <v>4465.3819999999996</v>
      </c>
      <c r="G6" s="32">
        <v>15.915130131319001</v>
      </c>
      <c r="H6" s="32">
        <f>SUM(E6:G6)</f>
        <v>4738.2761301313185</v>
      </c>
      <c r="I6" s="15"/>
      <c r="J6" s="31">
        <v>2203.8727764571586</v>
      </c>
      <c r="K6" s="31">
        <f>M6-L6-J6</f>
        <v>107.89538551899886</v>
      </c>
      <c r="L6" s="32">
        <v>2152.1139681551608</v>
      </c>
      <c r="M6" s="32">
        <f>H6-N6</f>
        <v>4463.8821301313183</v>
      </c>
      <c r="N6" s="32">
        <v>274.39400000000001</v>
      </c>
    </row>
    <row r="7" spans="1:23" ht="16.5" customHeight="1">
      <c r="A7" s="15" t="s">
        <v>35</v>
      </c>
      <c r="B7" s="29">
        <v>87.45</v>
      </c>
      <c r="C7" s="29">
        <v>86.168999999999997</v>
      </c>
      <c r="D7" s="29">
        <f>F7/C7</f>
        <v>49.556058443291668</v>
      </c>
      <c r="E7" s="30">
        <f>N6</f>
        <v>274.39400000000001</v>
      </c>
      <c r="F7" s="31">
        <f>F14</f>
        <v>4270.1959999999999</v>
      </c>
      <c r="G7" s="32">
        <f>G27</f>
        <v>24.512114749955</v>
      </c>
      <c r="H7" s="32">
        <f>SUM(E7:G7)</f>
        <v>4569.102114749955</v>
      </c>
      <c r="I7" s="15"/>
      <c r="J7" s="31">
        <f>J27</f>
        <v>2211.9384453555185</v>
      </c>
      <c r="K7" s="31">
        <f>M7-L7-J7</f>
        <v>97.142582674273399</v>
      </c>
      <c r="L7" s="32">
        <f>L27</f>
        <v>1991.816086720163</v>
      </c>
      <c r="M7" s="32">
        <f>H7-N7</f>
        <v>4300.8971147499551</v>
      </c>
      <c r="N7" s="32">
        <f>N26</f>
        <v>268.20499999999998</v>
      </c>
      <c r="P7" s="118"/>
    </row>
    <row r="8" spans="1:23" ht="16.5" customHeight="1">
      <c r="A8" s="15" t="s">
        <v>36</v>
      </c>
      <c r="B8" s="29">
        <v>83.6</v>
      </c>
      <c r="C8" s="29">
        <v>82.790999999999997</v>
      </c>
      <c r="D8" s="29">
        <f>F8/C8</f>
        <v>49.877993984853426</v>
      </c>
      <c r="E8" s="30">
        <f>N7</f>
        <v>268.20499999999998</v>
      </c>
      <c r="F8" s="31">
        <v>4129.4489999999996</v>
      </c>
      <c r="G8" s="32">
        <v>30</v>
      </c>
      <c r="H8" s="32">
        <f>SUM(E8:G8)</f>
        <v>4427.6539999999995</v>
      </c>
      <c r="I8" s="15"/>
      <c r="J8" s="31">
        <v>2300</v>
      </c>
      <c r="K8" s="205">
        <v>127.16</v>
      </c>
      <c r="L8" s="32">
        <v>1755</v>
      </c>
      <c r="M8" s="32">
        <f>SUM(J8:L8)</f>
        <v>4182.16</v>
      </c>
      <c r="N8" s="32">
        <f>H8-M8</f>
        <v>245.49399999999969</v>
      </c>
      <c r="P8" s="118"/>
    </row>
    <row r="9" spans="1:23" ht="16.5" customHeight="1">
      <c r="A9" s="15"/>
      <c r="B9" s="15"/>
      <c r="C9" s="15"/>
      <c r="D9" s="15"/>
      <c r="E9" s="33"/>
      <c r="F9" s="33"/>
      <c r="G9" s="34"/>
      <c r="H9" s="33"/>
      <c r="I9" s="33"/>
      <c r="J9" s="34"/>
      <c r="K9" s="34"/>
      <c r="L9" s="34"/>
      <c r="M9" s="34"/>
      <c r="N9" s="34"/>
    </row>
    <row r="10" spans="1:23" ht="16.5" customHeight="1">
      <c r="A10" s="35" t="s">
        <v>52</v>
      </c>
      <c r="B10" s="94"/>
      <c r="C10" s="94"/>
      <c r="D10" s="94"/>
      <c r="E10" s="37"/>
      <c r="F10" s="37"/>
      <c r="G10" s="6"/>
      <c r="H10" s="13"/>
      <c r="I10" s="94"/>
      <c r="J10" s="13"/>
      <c r="K10" s="36"/>
      <c r="L10" s="6"/>
      <c r="M10" s="6"/>
      <c r="N10" s="13"/>
    </row>
    <row r="11" spans="1:23" ht="16.5" customHeight="1">
      <c r="A11" s="15" t="s">
        <v>37</v>
      </c>
      <c r="B11" s="94"/>
      <c r="C11" s="94"/>
      <c r="D11" s="94"/>
      <c r="E11" s="37"/>
      <c r="F11" s="37"/>
      <c r="G11" s="6">
        <f>(31794.8*36.74371)/1000000</f>
        <v>1.1682589107079999</v>
      </c>
      <c r="H11" s="13"/>
      <c r="I11" s="94"/>
      <c r="J11" s="6">
        <f>((5028287*0.907185)*36.74371)/1000000</f>
        <v>167.60961304264146</v>
      </c>
      <c r="K11" s="36"/>
      <c r="L11" s="6">
        <f>(2077930.3*36.74371)/1000000</f>
        <v>76.350868343412998</v>
      </c>
      <c r="M11" s="6"/>
      <c r="N11" s="13"/>
      <c r="Q11" s="97"/>
    </row>
    <row r="12" spans="1:23" ht="16.5" customHeight="1">
      <c r="A12" s="15" t="s">
        <v>38</v>
      </c>
      <c r="B12" s="94"/>
      <c r="C12" s="94"/>
      <c r="D12" s="94"/>
      <c r="E12" s="37"/>
      <c r="F12" s="37"/>
      <c r="G12" s="6">
        <f>(33827.2*36.74371)/1000000</f>
        <v>1.2429368269119998</v>
      </c>
      <c r="H12" s="13"/>
      <c r="I12" s="94"/>
      <c r="J12" s="6">
        <f>((5899694*0.907185)*36.74371)/1000000</f>
        <v>196.65652107964277</v>
      </c>
      <c r="K12" s="36"/>
      <c r="L12" s="6">
        <f>(9947619.5*36.74371)/1000000</f>
        <v>365.51244609834498</v>
      </c>
      <c r="M12" s="6"/>
      <c r="N12" s="13"/>
      <c r="Q12" s="97"/>
    </row>
    <row r="13" spans="1:23" ht="16.5" customHeight="1">
      <c r="A13" s="15" t="s">
        <v>39</v>
      </c>
      <c r="B13" s="94"/>
      <c r="C13" s="94"/>
      <c r="D13" s="94"/>
      <c r="E13" s="37"/>
      <c r="F13" s="37"/>
      <c r="G13" s="6">
        <f>(35058.7*36.74371)/1000000</f>
        <v>1.288186705777</v>
      </c>
      <c r="H13" s="13"/>
      <c r="I13" s="94"/>
      <c r="J13" s="6">
        <f>((5687098*0.907185)*36.74371)/1000000</f>
        <v>189.56998578553299</v>
      </c>
      <c r="K13" s="36"/>
      <c r="L13" s="6">
        <f>(9794669.4*36.74371)/1000000</f>
        <v>359.89249197947402</v>
      </c>
      <c r="M13" s="6"/>
      <c r="N13" s="13"/>
      <c r="Q13" s="97"/>
    </row>
    <row r="14" spans="1:23" ht="16.5" customHeight="1">
      <c r="A14" s="15" t="s">
        <v>40</v>
      </c>
      <c r="B14" s="94"/>
      <c r="C14" s="94"/>
      <c r="D14" s="94"/>
      <c r="E14" s="37">
        <f>N6</f>
        <v>274.39400000000001</v>
      </c>
      <c r="F14" s="37">
        <v>4270.1959999999999</v>
      </c>
      <c r="G14" s="6">
        <f>SUM(G11:G13)</f>
        <v>3.699382443397</v>
      </c>
      <c r="H14" s="13">
        <f>SUM(E14:G14)</f>
        <v>4548.2893824433968</v>
      </c>
      <c r="I14" s="94"/>
      <c r="J14" s="6">
        <f>SUM(J11:J13)</f>
        <v>553.83611990781719</v>
      </c>
      <c r="K14" s="36">
        <f>M14-L14-J14</f>
        <v>171.54545611434753</v>
      </c>
      <c r="L14" s="6">
        <f>SUM(L11:L13)</f>
        <v>801.75580642123202</v>
      </c>
      <c r="M14" s="6">
        <f>H14-N14</f>
        <v>1527.1373824433967</v>
      </c>
      <c r="N14" s="13">
        <f>3021.152</f>
        <v>3021.152</v>
      </c>
    </row>
    <row r="15" spans="1:23" ht="16.5" customHeight="1">
      <c r="A15" s="15" t="s">
        <v>41</v>
      </c>
      <c r="B15" s="94"/>
      <c r="C15" s="94"/>
      <c r="D15" s="94"/>
      <c r="E15" s="37"/>
      <c r="F15" s="103"/>
      <c r="G15" s="6">
        <f>(36017.3*36.74371)/1000000</f>
        <v>1.3234092261829999</v>
      </c>
      <c r="H15" s="13"/>
      <c r="I15" s="94"/>
      <c r="J15" s="6">
        <f>((5622561*0.907185)*36.74371)/1000000</f>
        <v>187.41875185697378</v>
      </c>
      <c r="K15" s="36"/>
      <c r="L15" s="6">
        <f>(7968849.1*36.74371)/1000000</f>
        <v>292.80508036416103</v>
      </c>
      <c r="M15" s="6"/>
      <c r="N15" s="13"/>
    </row>
    <row r="16" spans="1:23" ht="16.5" customHeight="1">
      <c r="A16" s="15" t="s">
        <v>42</v>
      </c>
      <c r="B16" s="94"/>
      <c r="C16" s="94"/>
      <c r="D16" s="94"/>
      <c r="E16" s="37"/>
      <c r="F16" s="103"/>
      <c r="G16" s="6">
        <f>(5893.9*36.74371)/1000000</f>
        <v>0.216563752369</v>
      </c>
      <c r="H16" s="13"/>
      <c r="I16" s="94"/>
      <c r="J16" s="6">
        <f>((5734398*0.907185)*36.74371)/1000000</f>
        <v>191.14665288844833</v>
      </c>
      <c r="K16" s="36"/>
      <c r="L16" s="6">
        <f>(8559125.5*36.74371)/1000000</f>
        <v>314.49402522560501</v>
      </c>
      <c r="M16" s="6"/>
      <c r="N16" s="13"/>
    </row>
    <row r="17" spans="1:24" ht="16.5" customHeight="1">
      <c r="A17" s="15" t="s">
        <v>43</v>
      </c>
      <c r="B17" s="94"/>
      <c r="C17" s="94"/>
      <c r="D17" s="94"/>
      <c r="E17" s="37"/>
      <c r="F17" s="103"/>
      <c r="G17" s="6">
        <f>(27761.8*36.7371)/1000000</f>
        <v>1.0198880227799998</v>
      </c>
      <c r="H17" s="13"/>
      <c r="I17" s="94"/>
      <c r="J17" s="6">
        <f>((5306995*0.907185)*36.74371)/1000000</f>
        <v>176.89988227983665</v>
      </c>
      <c r="K17" s="36"/>
      <c r="L17" s="6">
        <f>(5374314*36.74371)/1000000</f>
        <v>197.47223506494001</v>
      </c>
      <c r="M17" s="6"/>
      <c r="N17" s="13"/>
      <c r="Q17" s="97"/>
    </row>
    <row r="18" spans="1:24" ht="16.5" customHeight="1">
      <c r="A18" s="15" t="s">
        <v>44</v>
      </c>
      <c r="B18" s="94"/>
      <c r="C18" s="94"/>
      <c r="D18" s="94"/>
      <c r="E18" s="37">
        <f>N14</f>
        <v>3021.152</v>
      </c>
      <c r="F18" s="103"/>
      <c r="G18" s="6">
        <f>SUM(G15:G17)</f>
        <v>2.559861001332</v>
      </c>
      <c r="H18" s="13">
        <f>SUM(E18:G18)</f>
        <v>3023.7118610013322</v>
      </c>
      <c r="I18" s="94"/>
      <c r="J18" s="6">
        <f>SUM(J15:J17)</f>
        <v>555.46528702525882</v>
      </c>
      <c r="K18" s="36">
        <f>M18-L18-J18</f>
        <v>-23.156766678632721</v>
      </c>
      <c r="L18" s="6">
        <f>SUM(L15:L17)</f>
        <v>804.77134065470602</v>
      </c>
      <c r="M18" s="6">
        <f>H18-N18</f>
        <v>1337.0798610013321</v>
      </c>
      <c r="N18" s="13">
        <f>1686.632</f>
        <v>1686.6320000000001</v>
      </c>
      <c r="P18" s="39"/>
    </row>
    <row r="19" spans="1:24" ht="16.5" customHeight="1">
      <c r="A19" s="15" t="s">
        <v>45</v>
      </c>
      <c r="B19" s="94"/>
      <c r="C19" s="94"/>
      <c r="D19" s="94"/>
      <c r="E19" s="37"/>
      <c r="F19" s="103"/>
      <c r="G19" s="6">
        <f>(34752.6*36.74371)/1000000</f>
        <v>1.2769394561459999</v>
      </c>
      <c r="H19" s="13"/>
      <c r="I19" s="94"/>
      <c r="J19" s="6">
        <f>((5939012*0.907185)*36.74371)/1000000</f>
        <v>197.96712144227334</v>
      </c>
      <c r="K19" s="36"/>
      <c r="L19" s="6">
        <f>(3135729.4*36.74371)/1000000</f>
        <v>115.21833171207399</v>
      </c>
      <c r="M19" s="6"/>
      <c r="N19" s="13"/>
      <c r="Q19" s="97"/>
    </row>
    <row r="20" spans="1:24" ht="16.5" customHeight="1">
      <c r="A20" s="15" t="s">
        <v>46</v>
      </c>
      <c r="B20" s="94"/>
      <c r="C20" s="94"/>
      <c r="D20" s="94"/>
      <c r="E20" s="37"/>
      <c r="F20" s="103"/>
      <c r="G20" s="6">
        <f>(8485.3*36.74371)/1000000</f>
        <v>0.31178140246299996</v>
      </c>
      <c r="H20" s="13"/>
      <c r="I20" s="94"/>
      <c r="J20" s="6">
        <f>((5609607*0.907185)*36.74371)/1000000</f>
        <v>186.98695173749888</v>
      </c>
      <c r="K20" s="36"/>
      <c r="L20" s="6">
        <f>(2554266.9*36.74371)/1000000</f>
        <v>93.853242236198994</v>
      </c>
      <c r="M20" s="6"/>
      <c r="N20" s="13"/>
    </row>
    <row r="21" spans="1:24" ht="16.5" customHeight="1">
      <c r="A21" s="15" t="s">
        <v>47</v>
      </c>
      <c r="B21" s="94"/>
      <c r="C21" s="94"/>
      <c r="D21" s="94"/>
      <c r="E21" s="37"/>
      <c r="F21" s="103"/>
      <c r="G21" s="6">
        <f>(126995.3*36.74371)/1000000</f>
        <v>4.6662784745629997</v>
      </c>
      <c r="H21" s="13"/>
      <c r="I21" s="94"/>
      <c r="J21" s="6">
        <f>((5679096*0.907185)*36.74371)/1000000</f>
        <v>189.30325237839708</v>
      </c>
      <c r="K21" s="36"/>
      <c r="L21" s="6">
        <f>(986447.6*36.74371)/1000000</f>
        <v>36.245744544596</v>
      </c>
      <c r="M21" s="6"/>
      <c r="N21" s="13"/>
      <c r="P21" s="94"/>
      <c r="Q21" s="97"/>
    </row>
    <row r="22" spans="1:24" ht="16.5" customHeight="1">
      <c r="A22" s="15" t="s">
        <v>48</v>
      </c>
      <c r="B22" s="94"/>
      <c r="C22" s="94"/>
      <c r="D22" s="94"/>
      <c r="E22" s="37">
        <f>N18</f>
        <v>1686.6320000000001</v>
      </c>
      <c r="F22" s="103"/>
      <c r="G22" s="6">
        <f>SUM(G19:G21)</f>
        <v>6.254999333172</v>
      </c>
      <c r="H22" s="13">
        <f>SUM(E22:G22)</f>
        <v>1692.8869993331721</v>
      </c>
      <c r="I22" s="94"/>
      <c r="J22" s="6">
        <f>SUM(J19:J21)</f>
        <v>574.25732555816921</v>
      </c>
      <c r="K22" s="36">
        <f>M22-L22-J22</f>
        <v>77.741355282133782</v>
      </c>
      <c r="L22" s="6">
        <f>SUM(L19:L21)</f>
        <v>245.31731849286899</v>
      </c>
      <c r="M22" s="6">
        <f>H22-N22</f>
        <v>897.31599933317204</v>
      </c>
      <c r="N22" s="13">
        <f>795.571</f>
        <v>795.57100000000003</v>
      </c>
      <c r="P22" s="94"/>
    </row>
    <row r="23" spans="1:24" ht="16.5" customHeight="1">
      <c r="A23" s="15" t="s">
        <v>49</v>
      </c>
      <c r="B23" s="94"/>
      <c r="C23" s="94"/>
      <c r="D23" s="94"/>
      <c r="E23" s="37"/>
      <c r="F23" s="103"/>
      <c r="G23" s="6">
        <f>(166679*36.744)/1000000</f>
        <v>6.1244531760000003</v>
      </c>
      <c r="H23" s="13"/>
      <c r="I23" s="94"/>
      <c r="J23" s="6">
        <f>((5236516*0.907185)*36.74371)/1000000</f>
        <v>174.55058162980768</v>
      </c>
      <c r="K23" s="36"/>
      <c r="L23" s="6">
        <f>(831037.3*36.74371)/1000000</f>
        <v>30.535393550383002</v>
      </c>
      <c r="M23" s="6"/>
      <c r="N23" s="13"/>
    </row>
    <row r="24" spans="1:24" ht="16.5" customHeight="1">
      <c r="A24" s="15" t="s">
        <v>50</v>
      </c>
      <c r="B24" s="94"/>
      <c r="C24" s="94"/>
      <c r="D24" s="94"/>
      <c r="E24" s="37"/>
      <c r="F24" s="103"/>
      <c r="G24" s="6">
        <f>(114325.1*36.74371)/1000000</f>
        <v>4.2007283201210006</v>
      </c>
      <c r="H24" s="13"/>
      <c r="I24" s="94"/>
      <c r="J24" s="6">
        <f>((5545001*0.907185)*36.74371)/1000000</f>
        <v>184.83341780830332</v>
      </c>
      <c r="K24" s="36"/>
      <c r="L24" s="6">
        <f>(1275803.3*36.74371)/1000000</f>
        <v>46.877746472243004</v>
      </c>
      <c r="M24" s="6"/>
      <c r="N24" s="13"/>
      <c r="Q24" s="97"/>
    </row>
    <row r="25" spans="1:24" ht="16.5" customHeight="1">
      <c r="A25" s="15" t="s">
        <v>51</v>
      </c>
      <c r="B25" s="94"/>
      <c r="C25" s="94"/>
      <c r="D25" s="94"/>
      <c r="E25" s="37"/>
      <c r="F25" s="103"/>
      <c r="G25" s="6">
        <f>(45519.5*36.74371)/1000000</f>
        <v>1.6725553073450001</v>
      </c>
      <c r="H25" s="13"/>
      <c r="I25" s="94"/>
      <c r="J25" s="6">
        <f>((5069870*0.907185)*36.74371)/1000000</f>
        <v>168.99571342616218</v>
      </c>
      <c r="K25" s="36"/>
      <c r="L25" s="6">
        <f>(1702563*36.74371)/1000000</f>
        <v>62.558481128730001</v>
      </c>
      <c r="M25" s="6"/>
      <c r="N25" s="13"/>
    </row>
    <row r="26" spans="1:24" ht="16.5" customHeight="1">
      <c r="A26" s="15" t="s">
        <v>170</v>
      </c>
      <c r="B26" s="94"/>
      <c r="C26" s="94"/>
      <c r="D26" s="94"/>
      <c r="E26" s="37">
        <f>N22</f>
        <v>795.57100000000003</v>
      </c>
      <c r="F26" s="103"/>
      <c r="G26" s="6">
        <f>SUM(G23:G25)</f>
        <v>11.997736803466001</v>
      </c>
      <c r="H26" s="13">
        <f>SUM(E26:G26)</f>
        <v>807.56873680346598</v>
      </c>
      <c r="I26" s="94"/>
      <c r="J26" s="6">
        <f>SUM(J23:J25)</f>
        <v>528.37971286427319</v>
      </c>
      <c r="K26" s="36">
        <f>M26-J26-L26</f>
        <v>-128.98759721216314</v>
      </c>
      <c r="L26" s="6">
        <f>SUM(L23:L25)</f>
        <v>139.971621151356</v>
      </c>
      <c r="M26" s="6">
        <f>H26-N26</f>
        <v>539.36373680346605</v>
      </c>
      <c r="N26" s="120">
        <v>268.20499999999998</v>
      </c>
    </row>
    <row r="27" spans="1:24" ht="16.5" customHeight="1">
      <c r="A27" s="15" t="s">
        <v>28</v>
      </c>
      <c r="B27" s="94"/>
      <c r="C27" s="94"/>
      <c r="D27" s="94"/>
      <c r="E27" s="37"/>
      <c r="F27" s="103"/>
      <c r="G27" s="119">
        <f>(667110.5*36.74371)/1000000</f>
        <v>24.512114749955</v>
      </c>
      <c r="H27" s="112"/>
      <c r="I27" s="113"/>
      <c r="J27" s="6">
        <f>SUM(J14,J18,J22,J26)</f>
        <v>2211.9384453555185</v>
      </c>
      <c r="K27" s="114"/>
      <c r="L27" s="6">
        <f>(54208355.3*36.74371)/1000000</f>
        <v>1991.816086720163</v>
      </c>
      <c r="M27" s="6"/>
      <c r="N27" s="13"/>
      <c r="Q27" s="97"/>
    </row>
    <row r="28" spans="1:24" ht="16.5" customHeight="1">
      <c r="A28" s="15"/>
      <c r="B28" s="94"/>
      <c r="C28" s="94"/>
      <c r="D28" s="94"/>
      <c r="E28" s="37"/>
      <c r="F28" s="37"/>
      <c r="G28" s="6"/>
      <c r="H28" s="13"/>
      <c r="I28" s="94"/>
      <c r="J28" s="13"/>
      <c r="K28" s="36"/>
      <c r="L28" s="6"/>
      <c r="M28" s="6"/>
      <c r="N28" s="13"/>
      <c r="R28" s="94"/>
    </row>
    <row r="29" spans="1:24" ht="16.5" customHeight="1">
      <c r="A29" s="35" t="s">
        <v>156</v>
      </c>
      <c r="B29" s="94"/>
      <c r="C29" s="94"/>
      <c r="D29" s="94"/>
      <c r="E29" s="37"/>
      <c r="F29" s="37"/>
      <c r="G29" s="6"/>
      <c r="H29" s="13"/>
      <c r="I29" s="94"/>
      <c r="J29" s="13"/>
      <c r="K29" s="36"/>
      <c r="L29" s="6"/>
      <c r="M29" s="6"/>
      <c r="N29" s="13"/>
      <c r="Q29" s="94"/>
      <c r="V29" s="116"/>
      <c r="X29" s="117"/>
    </row>
    <row r="30" spans="1:24" ht="16.5" customHeight="1">
      <c r="A30" s="15" t="s">
        <v>37</v>
      </c>
      <c r="B30" s="94"/>
      <c r="C30" s="94"/>
      <c r="D30" s="94"/>
      <c r="E30" s="37"/>
      <c r="F30" s="37"/>
      <c r="G30" s="6">
        <f>(37462.8*36.74371)/1000000</f>
        <v>1.3765222589880002</v>
      </c>
      <c r="H30" s="13"/>
      <c r="I30" s="94"/>
      <c r="J30" s="6">
        <f>((5242931*0.907185)*36.74371)/1000000</f>
        <v>174.76441502230665</v>
      </c>
      <c r="K30" s="36"/>
      <c r="L30" s="6">
        <f>(2471110*36.74371)/1000000</f>
        <v>90.797749218099995</v>
      </c>
      <c r="M30" s="6"/>
      <c r="N30" s="13"/>
      <c r="T30" s="115"/>
    </row>
    <row r="31" spans="1:24" ht="16.5" customHeight="1">
      <c r="A31" s="15" t="s">
        <v>38</v>
      </c>
      <c r="B31" s="94"/>
      <c r="C31" s="94"/>
      <c r="D31" s="94"/>
      <c r="E31" s="37"/>
      <c r="F31" s="37"/>
      <c r="G31" s="6">
        <f>(19548.9*36.74371)/1000000</f>
        <v>0.71829911241900002</v>
      </c>
      <c r="H31" s="13"/>
      <c r="I31" s="94"/>
      <c r="J31" s="6">
        <f>((6041685*0.907185)*36.74371)/1000000</f>
        <v>201.38955572256145</v>
      </c>
      <c r="K31" s="36"/>
      <c r="L31" s="6">
        <f>(9477743.2*36.74371)/1000000</f>
        <v>348.24744759527192</v>
      </c>
      <c r="M31" s="6"/>
      <c r="N31" s="13"/>
      <c r="T31" s="115"/>
    </row>
    <row r="32" spans="1:24" ht="16.5" customHeight="1">
      <c r="A32" s="90" t="s">
        <v>53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91"/>
      <c r="M32" s="77"/>
      <c r="N32" s="77"/>
      <c r="T32" s="115"/>
    </row>
    <row r="33" spans="1:20" ht="16.5" customHeight="1">
      <c r="A33" s="15" t="s">
        <v>54</v>
      </c>
      <c r="B33" s="15"/>
      <c r="C33" s="15"/>
      <c r="D33" s="15"/>
      <c r="E33" s="40"/>
      <c r="F33" s="40"/>
      <c r="G33" s="40"/>
      <c r="H33" s="40"/>
      <c r="I33" s="40"/>
      <c r="J33" s="40"/>
      <c r="K33" s="40"/>
      <c r="L33" s="40"/>
      <c r="M33" s="40"/>
      <c r="N33" s="40"/>
      <c r="T33" s="115"/>
    </row>
    <row r="34" spans="1:20" ht="16.5" customHeight="1">
      <c r="A34" s="20" t="s">
        <v>55</v>
      </c>
      <c r="B34" s="41">
        <f>Contents!A16</f>
        <v>45272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T34" s="115"/>
    </row>
    <row r="35" spans="1:20" ht="16.5" customHeight="1">
      <c r="T35" s="115"/>
    </row>
    <row r="36" spans="1:20" ht="16.5" customHeight="1">
      <c r="T36" s="115"/>
    </row>
    <row r="37" spans="1:20" ht="16.5" customHeight="1">
      <c r="P37" s="39"/>
      <c r="T37" s="115"/>
    </row>
    <row r="38" spans="1:20" ht="16.5" customHeight="1">
      <c r="T38" s="115"/>
    </row>
    <row r="39" spans="1:20" ht="16.5" customHeight="1">
      <c r="J39" s="39"/>
      <c r="L39" s="39"/>
      <c r="T39" s="115"/>
    </row>
    <row r="40" spans="1:20" ht="16.5" customHeight="1">
      <c r="J40" s="39"/>
      <c r="L40" s="39"/>
      <c r="T40" s="115"/>
    </row>
    <row r="41" spans="1:20" ht="16.5" customHeight="1">
      <c r="J41" s="39"/>
      <c r="L41" s="39"/>
      <c r="T41" s="115"/>
    </row>
    <row r="42" spans="1:20" ht="16.5" customHeight="1">
      <c r="T42" s="115"/>
    </row>
    <row r="43" spans="1:20" ht="16.5" customHeight="1">
      <c r="T43" s="115"/>
    </row>
    <row r="44" spans="1:20" ht="16.5" customHeight="1">
      <c r="T44" s="115"/>
    </row>
    <row r="45" spans="1:20" ht="16.5" customHeight="1">
      <c r="T45" s="115"/>
    </row>
    <row r="46" spans="1:20" ht="16.5" customHeight="1"/>
    <row r="47" spans="1:20" ht="16.5" customHeight="1"/>
    <row r="48" spans="1:20" ht="16.5" customHeight="1"/>
    <row r="49" spans="15:73" ht="16.5" customHeight="1"/>
    <row r="50" spans="15:73" ht="16.5" customHeight="1">
      <c r="O50" s="94"/>
      <c r="P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</row>
    <row r="51" spans="15:73">
      <c r="O51" s="94"/>
      <c r="P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</row>
    <row r="52" spans="15:73">
      <c r="O52" s="94"/>
      <c r="P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</row>
    <row r="53" spans="15:73">
      <c r="O53" s="94"/>
      <c r="P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</row>
    <row r="54" spans="15:73">
      <c r="O54" s="94"/>
      <c r="P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</row>
    <row r="55" spans="15:73">
      <c r="O55" s="94"/>
      <c r="P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</row>
    <row r="56" spans="15:73">
      <c r="O56" s="94"/>
      <c r="P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</row>
    <row r="57" spans="15:73">
      <c r="O57" s="94"/>
      <c r="P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</row>
    <row r="58" spans="15:73">
      <c r="O58" s="94"/>
      <c r="P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</row>
    <row r="59" spans="15:73">
      <c r="O59" s="94"/>
      <c r="P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</row>
    <row r="60" spans="15:73">
      <c r="O60" s="94"/>
      <c r="P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</row>
    <row r="61" spans="15:73">
      <c r="O61" s="94"/>
      <c r="P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</row>
    <row r="62" spans="15:73">
      <c r="O62" s="94"/>
      <c r="P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</row>
    <row r="63" spans="15:73">
      <c r="O63" s="94"/>
      <c r="P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</row>
    <row r="64" spans="15:73">
      <c r="O64" s="94"/>
      <c r="P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</row>
    <row r="65" spans="15:73">
      <c r="O65" s="94"/>
      <c r="P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</row>
    <row r="66" spans="15:73">
      <c r="O66" s="94"/>
      <c r="P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</row>
    <row r="67" spans="15:73">
      <c r="O67" s="94"/>
      <c r="P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</row>
    <row r="68" spans="15:73">
      <c r="O68" s="94"/>
      <c r="P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</row>
    <row r="69" spans="15:73">
      <c r="O69" s="94"/>
      <c r="P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</row>
    <row r="70" spans="15:73">
      <c r="O70" s="94"/>
      <c r="P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</row>
    <row r="71" spans="15:73">
      <c r="O71" s="94"/>
      <c r="P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</row>
    <row r="72" spans="15:73">
      <c r="O72" s="94"/>
      <c r="P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</row>
    <row r="73" spans="15:73">
      <c r="O73" s="94"/>
      <c r="P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</row>
    <row r="74" spans="15:73">
      <c r="O74" s="94"/>
      <c r="P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</row>
    <row r="75" spans="15:73">
      <c r="O75" s="94"/>
      <c r="P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</row>
    <row r="76" spans="15:73">
      <c r="O76" s="94"/>
      <c r="P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</row>
    <row r="77" spans="15:73">
      <c r="O77" s="94"/>
      <c r="P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</row>
    <row r="78" spans="15:73"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</row>
    <row r="79" spans="15:73"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</row>
    <row r="80" spans="15:73"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</row>
    <row r="81" spans="15:73"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</row>
    <row r="82" spans="15:73"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</row>
    <row r="83" spans="15:73"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</row>
    <row r="84" spans="15:73"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</row>
    <row r="85" spans="15:73"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</row>
    <row r="86" spans="15:73"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</row>
    <row r="87" spans="15:73"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</row>
    <row r="88" spans="15:73"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</row>
    <row r="89" spans="15:73"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</row>
    <row r="90" spans="15:73"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</row>
    <row r="91" spans="15:73"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</row>
    <row r="92" spans="15:73"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</row>
    <row r="93" spans="15:73"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</row>
    <row r="94" spans="15:73"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</row>
    <row r="95" spans="15:73"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</row>
    <row r="96" spans="15:73"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</row>
    <row r="97" spans="15:73"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</row>
    <row r="98" spans="15:73"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</row>
    <row r="99" spans="15:73"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</row>
    <row r="100" spans="15:73"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</row>
    <row r="101" spans="15:73"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</row>
    <row r="102" spans="15:73"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</row>
    <row r="103" spans="15:73"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</row>
    <row r="104" spans="15:73"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</row>
    <row r="105" spans="15:73"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</row>
    <row r="106" spans="15:73"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</row>
    <row r="107" spans="15:73"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</row>
    <row r="108" spans="15:73"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</row>
    <row r="109" spans="15:73"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</row>
    <row r="110" spans="15:73"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</row>
    <row r="111" spans="15:73"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</row>
    <row r="112" spans="15:73"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</row>
    <row r="113" spans="15:73"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</row>
    <row r="114" spans="15:73"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</row>
    <row r="115" spans="15:73"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</row>
    <row r="116" spans="15:73"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</row>
    <row r="117" spans="15:73"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</row>
    <row r="118" spans="15:73"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</row>
    <row r="119" spans="15:73"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</row>
    <row r="120" spans="15:73"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</row>
    <row r="121" spans="15:73"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</row>
    <row r="122" spans="15:73"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</row>
    <row r="123" spans="15:73"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</row>
    <row r="124" spans="15:73"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</row>
    <row r="125" spans="15:73"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</row>
    <row r="126" spans="15:73"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</row>
    <row r="127" spans="15:73"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</row>
    <row r="128" spans="15:73"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</row>
    <row r="129" spans="15:73"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</row>
    <row r="130" spans="15:73"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</row>
    <row r="131" spans="15:73"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</row>
    <row r="132" spans="15:73"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</row>
    <row r="133" spans="15:73"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</row>
    <row r="134" spans="15:73"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</row>
    <row r="135" spans="15:73"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  <c r="BO135" s="94"/>
      <c r="BP135" s="94"/>
      <c r="BQ135" s="94"/>
      <c r="BR135" s="94"/>
      <c r="BS135" s="94"/>
      <c r="BT135" s="94"/>
      <c r="BU135" s="94"/>
    </row>
    <row r="136" spans="15:73"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/>
      <c r="BR136" s="94"/>
      <c r="BS136" s="94"/>
      <c r="BT136" s="94"/>
      <c r="BU136" s="94"/>
    </row>
    <row r="137" spans="15:73"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</row>
    <row r="138" spans="15:73"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</row>
    <row r="139" spans="15:73"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</row>
    <row r="140" spans="15:73"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  <c r="BN140" s="94"/>
      <c r="BO140" s="94"/>
      <c r="BP140" s="94"/>
      <c r="BQ140" s="94"/>
      <c r="BR140" s="94"/>
      <c r="BS140" s="94"/>
      <c r="BT140" s="94"/>
      <c r="BU140" s="94"/>
    </row>
    <row r="141" spans="15:73"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4"/>
      <c r="BR141" s="94"/>
      <c r="BS141" s="94"/>
      <c r="BT141" s="94"/>
      <c r="BU141" s="94"/>
    </row>
    <row r="142" spans="15:73"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  <c r="BO142" s="94"/>
      <c r="BP142" s="94"/>
      <c r="BQ142" s="94"/>
      <c r="BR142" s="94"/>
      <c r="BS142" s="94"/>
      <c r="BT142" s="94"/>
      <c r="BU142" s="94"/>
    </row>
    <row r="143" spans="15:73"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</row>
    <row r="144" spans="15:73"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4"/>
      <c r="BN144" s="94"/>
      <c r="BO144" s="94"/>
      <c r="BP144" s="94"/>
      <c r="BQ144" s="94"/>
      <c r="BR144" s="94"/>
      <c r="BS144" s="94"/>
      <c r="BT144" s="94"/>
      <c r="BU144" s="94"/>
    </row>
    <row r="145" spans="15:73"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</row>
    <row r="146" spans="15:73"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</row>
    <row r="147" spans="15:73"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</row>
    <row r="148" spans="15:73"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</row>
    <row r="149" spans="15:73"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</row>
    <row r="150" spans="15:73"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</row>
    <row r="151" spans="15:73"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</row>
    <row r="152" spans="15:73"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</row>
    <row r="153" spans="15:73"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</row>
    <row r="154" spans="15:73"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</row>
    <row r="155" spans="15:73"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</row>
    <row r="156" spans="15:73"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</row>
    <row r="157" spans="15:73"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</row>
    <row r="158" spans="15:73"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</row>
    <row r="159" spans="15:73"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</row>
    <row r="160" spans="15:73"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</row>
    <row r="161" spans="15:73"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</row>
    <row r="162" spans="15:73"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</row>
    <row r="163" spans="15:73"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</row>
    <row r="164" spans="15:73"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</row>
    <row r="165" spans="15:73"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  <c r="BO165" s="94"/>
      <c r="BP165" s="94"/>
      <c r="BQ165" s="94"/>
      <c r="BR165" s="94"/>
      <c r="BS165" s="94"/>
      <c r="BT165" s="94"/>
      <c r="BU165" s="94"/>
    </row>
    <row r="166" spans="15:73"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4"/>
      <c r="BN166" s="94"/>
      <c r="BO166" s="94"/>
      <c r="BP166" s="94"/>
      <c r="BQ166" s="94"/>
      <c r="BR166" s="94"/>
      <c r="BS166" s="94"/>
      <c r="BT166" s="94"/>
      <c r="BU166" s="94"/>
    </row>
    <row r="167" spans="15:73"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</row>
    <row r="168" spans="15:73"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</row>
    <row r="169" spans="15:73"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</row>
    <row r="170" spans="15:73"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</row>
    <row r="171" spans="15:73"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</row>
    <row r="172" spans="15:73"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</row>
    <row r="173" spans="15:73"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</row>
    <row r="174" spans="15:73"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</row>
    <row r="175" spans="15:73"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  <c r="BO175" s="94"/>
      <c r="BP175" s="94"/>
      <c r="BQ175" s="94"/>
      <c r="BR175" s="94"/>
      <c r="BS175" s="94"/>
      <c r="BT175" s="94"/>
      <c r="BU175" s="94"/>
    </row>
    <row r="176" spans="15:73"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/>
      <c r="BR176" s="94"/>
      <c r="BS176" s="94"/>
      <c r="BT176" s="94"/>
      <c r="BU176" s="94"/>
    </row>
    <row r="177" spans="15:73"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BR177" s="94"/>
      <c r="BS177" s="94"/>
      <c r="BT177" s="94"/>
      <c r="BU177" s="94"/>
    </row>
    <row r="178" spans="15:73"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/>
      <c r="BT178" s="94"/>
      <c r="BU178" s="94"/>
    </row>
    <row r="179" spans="15:73"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</row>
    <row r="180" spans="15:73"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94"/>
      <c r="BS180" s="94"/>
      <c r="BT180" s="94"/>
      <c r="BU180" s="94"/>
    </row>
    <row r="181" spans="15:73"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</row>
    <row r="182" spans="15:73"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/>
      <c r="BR182" s="94"/>
      <c r="BS182" s="94"/>
      <c r="BT182" s="94"/>
      <c r="BU182" s="94"/>
    </row>
    <row r="183" spans="15:73"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</row>
    <row r="184" spans="15:73"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94"/>
      <c r="BS184" s="94"/>
      <c r="BT184" s="94"/>
      <c r="BU184" s="94"/>
    </row>
    <row r="185" spans="15:73"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4"/>
      <c r="BN185" s="94"/>
      <c r="BO185" s="94"/>
      <c r="BP185" s="94"/>
      <c r="BQ185" s="94"/>
      <c r="BR185" s="94"/>
      <c r="BS185" s="94"/>
      <c r="BT185" s="94"/>
      <c r="BU185" s="94"/>
    </row>
    <row r="186" spans="15:73"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</row>
    <row r="187" spans="15:73"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  <c r="BO187" s="94"/>
      <c r="BP187" s="94"/>
      <c r="BQ187" s="94"/>
      <c r="BR187" s="94"/>
      <c r="BS187" s="94"/>
      <c r="BT187" s="94"/>
      <c r="BU187" s="94"/>
    </row>
    <row r="188" spans="15:73"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  <c r="BO188" s="94"/>
      <c r="BP188" s="94"/>
      <c r="BQ188" s="94"/>
      <c r="BR188" s="94"/>
      <c r="BS188" s="94"/>
      <c r="BT188" s="94"/>
      <c r="BU188" s="94"/>
    </row>
    <row r="189" spans="15:73"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  <c r="BO189" s="94"/>
      <c r="BP189" s="94"/>
      <c r="BQ189" s="94"/>
      <c r="BR189" s="94"/>
      <c r="BS189" s="94"/>
      <c r="BT189" s="94"/>
      <c r="BU189" s="94"/>
    </row>
    <row r="190" spans="15:73"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</row>
    <row r="191" spans="15:73"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</row>
    <row r="192" spans="15:73"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</row>
    <row r="193" spans="15:73"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</row>
    <row r="194" spans="15:73"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</row>
    <row r="195" spans="15:73"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</row>
    <row r="196" spans="15:73"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</row>
    <row r="197" spans="15:73"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</row>
    <row r="198" spans="15:73"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  <c r="BO198" s="94"/>
      <c r="BP198" s="94"/>
      <c r="BQ198" s="94"/>
      <c r="BR198" s="94"/>
      <c r="BS198" s="94"/>
      <c r="BT198" s="94"/>
      <c r="BU198" s="94"/>
    </row>
    <row r="199" spans="15:73"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  <c r="BO199" s="94"/>
      <c r="BP199" s="94"/>
      <c r="BQ199" s="94"/>
      <c r="BR199" s="94"/>
      <c r="BS199" s="94"/>
      <c r="BT199" s="94"/>
      <c r="BU199" s="94"/>
    </row>
    <row r="200" spans="15:73"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</row>
    <row r="201" spans="15:73"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</row>
    <row r="202" spans="15:73"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</row>
    <row r="203" spans="15:73"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</row>
    <row r="204" spans="15:73"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</row>
    <row r="205" spans="15:73"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</row>
    <row r="206" spans="15:73"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</row>
    <row r="207" spans="15:73"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</row>
    <row r="208" spans="15:73"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</row>
    <row r="209" spans="15:73"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  <c r="BK209" s="94"/>
      <c r="BL209" s="94"/>
      <c r="BM209" s="94"/>
      <c r="BN209" s="94"/>
      <c r="BO209" s="94"/>
      <c r="BP209" s="94"/>
      <c r="BQ209" s="94"/>
      <c r="BR209" s="94"/>
      <c r="BS209" s="94"/>
      <c r="BT209" s="94"/>
      <c r="BU209" s="94"/>
    </row>
    <row r="210" spans="15:73"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  <c r="BK210" s="94"/>
      <c r="BL210" s="94"/>
      <c r="BM210" s="94"/>
      <c r="BN210" s="94"/>
      <c r="BO210" s="94"/>
      <c r="BP210" s="94"/>
      <c r="BQ210" s="94"/>
      <c r="BR210" s="94"/>
      <c r="BS210" s="94"/>
      <c r="BT210" s="94"/>
      <c r="BU210" s="94"/>
    </row>
    <row r="211" spans="15:73"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  <c r="BO211" s="94"/>
      <c r="BP211" s="94"/>
      <c r="BQ211" s="94"/>
      <c r="BR211" s="94"/>
      <c r="BS211" s="94"/>
      <c r="BT211" s="94"/>
      <c r="BU211" s="94"/>
    </row>
    <row r="212" spans="15:73"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  <c r="BO212" s="94"/>
      <c r="BP212" s="94"/>
      <c r="BQ212" s="94"/>
      <c r="BR212" s="94"/>
      <c r="BS212" s="94"/>
      <c r="BT212" s="94"/>
      <c r="BU212" s="94"/>
    </row>
    <row r="213" spans="15:73"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94"/>
      <c r="BJ213" s="94"/>
      <c r="BK213" s="94"/>
      <c r="BL213" s="94"/>
      <c r="BM213" s="94"/>
      <c r="BN213" s="94"/>
      <c r="BO213" s="94"/>
      <c r="BP213" s="94"/>
      <c r="BQ213" s="94"/>
      <c r="BR213" s="94"/>
      <c r="BS213" s="94"/>
      <c r="BT213" s="94"/>
      <c r="BU213" s="94"/>
    </row>
    <row r="214" spans="15:73"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94"/>
      <c r="BJ214" s="94"/>
      <c r="BK214" s="94"/>
      <c r="BL214" s="94"/>
      <c r="BM214" s="94"/>
      <c r="BN214" s="94"/>
      <c r="BO214" s="94"/>
      <c r="BP214" s="94"/>
      <c r="BQ214" s="94"/>
      <c r="BR214" s="94"/>
      <c r="BS214" s="94"/>
      <c r="BT214" s="94"/>
      <c r="BU214" s="94"/>
    </row>
    <row r="215" spans="15:73"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  <c r="BO215" s="94"/>
      <c r="BP215" s="94"/>
      <c r="BQ215" s="94"/>
      <c r="BR215" s="94"/>
      <c r="BS215" s="94"/>
      <c r="BT215" s="94"/>
      <c r="BU215" s="94"/>
    </row>
    <row r="216" spans="15:73"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</row>
    <row r="217" spans="15:73"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4"/>
      <c r="BS217" s="94"/>
      <c r="BT217" s="94"/>
      <c r="BU217" s="94"/>
    </row>
    <row r="218" spans="15:73"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  <c r="BO218" s="94"/>
      <c r="BP218" s="94"/>
      <c r="BQ218" s="94"/>
      <c r="BR218" s="94"/>
      <c r="BS218" s="94"/>
      <c r="BT218" s="94"/>
      <c r="BU218" s="94"/>
    </row>
    <row r="219" spans="15:73"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</row>
    <row r="220" spans="15:73"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  <c r="BO220" s="94"/>
      <c r="BP220" s="94"/>
      <c r="BQ220" s="94"/>
      <c r="BR220" s="94"/>
      <c r="BS220" s="94"/>
      <c r="BT220" s="94"/>
      <c r="BU220" s="94"/>
    </row>
    <row r="221" spans="15:73"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4"/>
      <c r="BQ221" s="94"/>
      <c r="BR221" s="94"/>
      <c r="BS221" s="94"/>
      <c r="BT221" s="94"/>
      <c r="BU221" s="94"/>
    </row>
    <row r="222" spans="15:73"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  <c r="BO222" s="94"/>
      <c r="BP222" s="94"/>
      <c r="BQ222" s="94"/>
      <c r="BR222" s="94"/>
      <c r="BS222" s="94"/>
      <c r="BT222" s="94"/>
      <c r="BU222" s="94"/>
    </row>
    <row r="223" spans="15:73"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</row>
    <row r="224" spans="15:73"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  <c r="BO224" s="94"/>
      <c r="BP224" s="94"/>
      <c r="BQ224" s="94"/>
      <c r="BR224" s="94"/>
      <c r="BS224" s="94"/>
      <c r="BT224" s="94"/>
      <c r="BU224" s="94"/>
    </row>
    <row r="225" spans="15:73"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</row>
    <row r="226" spans="15:73"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</row>
    <row r="227" spans="15:73"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  <c r="BP227" s="94"/>
      <c r="BQ227" s="94"/>
      <c r="BR227" s="94"/>
      <c r="BS227" s="94"/>
      <c r="BT227" s="94"/>
      <c r="BU227" s="94"/>
    </row>
    <row r="228" spans="15:73"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  <c r="BO228" s="94"/>
      <c r="BP228" s="94"/>
      <c r="BQ228" s="94"/>
      <c r="BR228" s="94"/>
      <c r="BS228" s="94"/>
      <c r="BT228" s="94"/>
      <c r="BU228" s="94"/>
    </row>
    <row r="229" spans="15:73"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</row>
    <row r="230" spans="15:73"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4"/>
      <c r="BN230" s="94"/>
      <c r="BO230" s="94"/>
      <c r="BP230" s="94"/>
      <c r="BQ230" s="94"/>
      <c r="BR230" s="94"/>
      <c r="BS230" s="94"/>
      <c r="BT230" s="94"/>
      <c r="BU230" s="94"/>
    </row>
    <row r="231" spans="15:73"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4"/>
      <c r="BN231" s="94"/>
      <c r="BO231" s="94"/>
      <c r="BP231" s="94"/>
      <c r="BQ231" s="94"/>
      <c r="BR231" s="94"/>
      <c r="BS231" s="94"/>
      <c r="BT231" s="94"/>
      <c r="BU231" s="94"/>
    </row>
    <row r="232" spans="15:73"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4"/>
      <c r="BN232" s="94"/>
      <c r="BO232" s="94"/>
      <c r="BP232" s="94"/>
      <c r="BQ232" s="94"/>
      <c r="BR232" s="94"/>
      <c r="BS232" s="94"/>
      <c r="BT232" s="94"/>
      <c r="BU232" s="94"/>
    </row>
    <row r="233" spans="15:73"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  <c r="BO233" s="94"/>
      <c r="BP233" s="94"/>
      <c r="BQ233" s="94"/>
      <c r="BR233" s="94"/>
      <c r="BS233" s="94"/>
      <c r="BT233" s="94"/>
      <c r="BU233" s="94"/>
    </row>
    <row r="234" spans="15:73"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  <c r="BO234" s="94"/>
      <c r="BP234" s="94"/>
      <c r="BQ234" s="94"/>
      <c r="BR234" s="94"/>
      <c r="BS234" s="94"/>
      <c r="BT234" s="94"/>
      <c r="BU234" s="94"/>
    </row>
    <row r="235" spans="15:73"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N235" s="94"/>
      <c r="AO235" s="94"/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  <c r="BB235" s="94"/>
      <c r="BC235" s="94"/>
      <c r="BD235" s="94"/>
      <c r="BE235" s="94"/>
      <c r="BF235" s="94"/>
      <c r="BG235" s="94"/>
      <c r="BH235" s="94"/>
      <c r="BI235" s="94"/>
      <c r="BJ235" s="94"/>
      <c r="BK235" s="94"/>
      <c r="BL235" s="94"/>
      <c r="BM235" s="94"/>
      <c r="BN235" s="94"/>
      <c r="BO235" s="94"/>
      <c r="BP235" s="94"/>
      <c r="BQ235" s="94"/>
      <c r="BR235" s="94"/>
      <c r="BS235" s="94"/>
      <c r="BT235" s="94"/>
      <c r="BU235" s="94"/>
    </row>
    <row r="236" spans="15:73"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  <c r="AO236" s="94"/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4"/>
      <c r="BN236" s="94"/>
      <c r="BO236" s="94"/>
      <c r="BP236" s="94"/>
      <c r="BQ236" s="94"/>
      <c r="BR236" s="94"/>
      <c r="BS236" s="94"/>
      <c r="BT236" s="94"/>
      <c r="BU236" s="94"/>
    </row>
    <row r="237" spans="15:73"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BR237" s="94"/>
      <c r="BS237" s="94"/>
      <c r="BT237" s="94"/>
      <c r="BU237" s="94"/>
    </row>
    <row r="238" spans="15:73"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4"/>
      <c r="BS238" s="94"/>
      <c r="BT238" s="94"/>
      <c r="BU238" s="94"/>
    </row>
    <row r="239" spans="15:73"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4"/>
      <c r="BS239" s="94"/>
      <c r="BT239" s="94"/>
      <c r="BU239" s="94"/>
    </row>
    <row r="240" spans="15:73"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4"/>
      <c r="BS240" s="94"/>
      <c r="BT240" s="94"/>
      <c r="BU240" s="94"/>
    </row>
    <row r="241" spans="15:73"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BR241" s="94"/>
      <c r="BS241" s="94"/>
      <c r="BT241" s="94"/>
      <c r="BU241" s="94"/>
    </row>
    <row r="242" spans="15:73"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  <c r="BO242" s="94"/>
      <c r="BP242" s="94"/>
      <c r="BQ242" s="94"/>
      <c r="BR242" s="94"/>
      <c r="BS242" s="94"/>
      <c r="BT242" s="94"/>
      <c r="BU242" s="94"/>
    </row>
    <row r="243" spans="15:73"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  <c r="BO243" s="94"/>
      <c r="BP243" s="94"/>
      <c r="BQ243" s="94"/>
      <c r="BR243" s="94"/>
      <c r="BS243" s="94"/>
      <c r="BT243" s="94"/>
      <c r="BU243" s="94"/>
    </row>
    <row r="244" spans="15:73"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4"/>
      <c r="BN244" s="94"/>
      <c r="BO244" s="94"/>
      <c r="BP244" s="94"/>
      <c r="BQ244" s="94"/>
      <c r="BR244" s="94"/>
      <c r="BS244" s="94"/>
      <c r="BT244" s="94"/>
      <c r="BU244" s="94"/>
    </row>
    <row r="245" spans="15:73"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  <c r="BO245" s="94"/>
      <c r="BP245" s="94"/>
      <c r="BQ245" s="94"/>
      <c r="BR245" s="94"/>
      <c r="BS245" s="94"/>
      <c r="BT245" s="94"/>
      <c r="BU245" s="94"/>
    </row>
    <row r="246" spans="15:73"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4"/>
      <c r="BN246" s="94"/>
      <c r="BO246" s="94"/>
      <c r="BP246" s="94"/>
      <c r="BQ246" s="94"/>
      <c r="BR246" s="94"/>
      <c r="BS246" s="94"/>
      <c r="BT246" s="94"/>
      <c r="BU246" s="94"/>
    </row>
    <row r="247" spans="15:73"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4"/>
      <c r="BN247" s="94"/>
      <c r="BO247" s="94"/>
      <c r="BP247" s="94"/>
      <c r="BQ247" s="94"/>
      <c r="BR247" s="94"/>
      <c r="BS247" s="94"/>
      <c r="BT247" s="94"/>
      <c r="BU247" s="94"/>
    </row>
    <row r="248" spans="15:73"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4"/>
      <c r="BN248" s="94"/>
      <c r="BO248" s="94"/>
      <c r="BP248" s="94"/>
      <c r="BQ248" s="94"/>
      <c r="BR248" s="94"/>
      <c r="BS248" s="94"/>
      <c r="BT248" s="94"/>
      <c r="BU248" s="94"/>
    </row>
    <row r="249" spans="15:73"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  <c r="BO249" s="94"/>
      <c r="BP249" s="94"/>
      <c r="BQ249" s="94"/>
      <c r="BR249" s="94"/>
      <c r="BS249" s="94"/>
      <c r="BT249" s="94"/>
      <c r="BU249" s="94"/>
    </row>
    <row r="250" spans="15:73"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  <c r="BO250" s="94"/>
      <c r="BP250" s="94"/>
      <c r="BQ250" s="94"/>
      <c r="BR250" s="94"/>
      <c r="BS250" s="94"/>
      <c r="BT250" s="94"/>
      <c r="BU250" s="94"/>
    </row>
    <row r="251" spans="15:73"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  <c r="BO251" s="94"/>
      <c r="BP251" s="94"/>
      <c r="BQ251" s="94"/>
      <c r="BR251" s="94"/>
      <c r="BS251" s="94"/>
      <c r="BT251" s="94"/>
      <c r="BU251" s="94"/>
    </row>
    <row r="252" spans="15:73"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  <c r="BO252" s="94"/>
      <c r="BP252" s="94"/>
      <c r="BQ252" s="94"/>
      <c r="BR252" s="94"/>
      <c r="BS252" s="94"/>
      <c r="BT252" s="94"/>
      <c r="BU252" s="94"/>
    </row>
    <row r="253" spans="15:73"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  <c r="BO253" s="94"/>
      <c r="BP253" s="94"/>
      <c r="BQ253" s="94"/>
      <c r="BR253" s="94"/>
      <c r="BS253" s="94"/>
      <c r="BT253" s="94"/>
      <c r="BU253" s="94"/>
    </row>
    <row r="254" spans="15:73"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  <c r="BB254" s="94"/>
      <c r="BC254" s="94"/>
      <c r="BD254" s="94"/>
      <c r="BE254" s="94"/>
      <c r="BF254" s="94"/>
      <c r="BG254" s="94"/>
      <c r="BH254" s="94"/>
      <c r="BI254" s="94"/>
      <c r="BJ254" s="94"/>
      <c r="BK254" s="94"/>
      <c r="BL254" s="94"/>
      <c r="BM254" s="94"/>
      <c r="BN254" s="94"/>
      <c r="BO254" s="94"/>
      <c r="BP254" s="94"/>
      <c r="BQ254" s="94"/>
      <c r="BR254" s="94"/>
      <c r="BS254" s="94"/>
      <c r="BT254" s="94"/>
      <c r="BU254" s="94"/>
    </row>
    <row r="255" spans="15:73"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4"/>
      <c r="BN255" s="94"/>
      <c r="BO255" s="94"/>
      <c r="BP255" s="94"/>
      <c r="BQ255" s="94"/>
      <c r="BR255" s="94"/>
      <c r="BS255" s="94"/>
      <c r="BT255" s="94"/>
      <c r="BU255" s="94"/>
    </row>
    <row r="256" spans="15:73"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  <c r="BH256" s="94"/>
      <c r="BI256" s="94"/>
      <c r="BJ256" s="94"/>
      <c r="BK256" s="94"/>
      <c r="BL256" s="94"/>
      <c r="BM256" s="94"/>
      <c r="BN256" s="94"/>
      <c r="BO256" s="94"/>
      <c r="BP256" s="94"/>
      <c r="BQ256" s="94"/>
      <c r="BR256" s="94"/>
      <c r="BS256" s="94"/>
      <c r="BT256" s="94"/>
      <c r="BU256" s="94"/>
    </row>
    <row r="257" spans="15:73"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N257" s="94"/>
      <c r="AO257" s="94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4"/>
      <c r="BN257" s="94"/>
      <c r="BO257" s="94"/>
      <c r="BP257" s="94"/>
      <c r="BQ257" s="94"/>
      <c r="BR257" s="94"/>
      <c r="BS257" s="94"/>
      <c r="BT257" s="94"/>
      <c r="BU257" s="94"/>
    </row>
    <row r="258" spans="15:73"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4"/>
      <c r="BN258" s="94"/>
      <c r="BO258" s="94"/>
      <c r="BP258" s="94"/>
      <c r="BQ258" s="94"/>
      <c r="BR258" s="94"/>
      <c r="BS258" s="94"/>
      <c r="BT258" s="94"/>
      <c r="BU258" s="94"/>
    </row>
    <row r="259" spans="15:73"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N259" s="94"/>
      <c r="AO259" s="94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4"/>
      <c r="BN259" s="94"/>
      <c r="BO259" s="94"/>
      <c r="BP259" s="94"/>
      <c r="BQ259" s="94"/>
      <c r="BR259" s="94"/>
      <c r="BS259" s="94"/>
      <c r="BT259" s="94"/>
      <c r="BU259" s="94"/>
    </row>
    <row r="260" spans="15:73"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  <c r="BB260" s="94"/>
      <c r="BC260" s="94"/>
      <c r="BD260" s="94"/>
      <c r="BE260" s="94"/>
      <c r="BF260" s="94"/>
      <c r="BG260" s="94"/>
      <c r="BH260" s="94"/>
      <c r="BI260" s="94"/>
      <c r="BJ260" s="94"/>
      <c r="BK260" s="94"/>
      <c r="BL260" s="94"/>
      <c r="BM260" s="94"/>
      <c r="BN260" s="94"/>
      <c r="BO260" s="94"/>
      <c r="BP260" s="94"/>
      <c r="BQ260" s="94"/>
      <c r="BR260" s="94"/>
      <c r="BS260" s="94"/>
      <c r="BT260" s="94"/>
      <c r="BU260" s="94"/>
    </row>
    <row r="261" spans="15:73"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N261" s="94"/>
      <c r="AO261" s="94"/>
      <c r="AP261" s="94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4"/>
      <c r="BB261" s="94"/>
      <c r="BC261" s="94"/>
      <c r="BD261" s="94"/>
      <c r="BE261" s="94"/>
      <c r="BF261" s="94"/>
      <c r="BG261" s="94"/>
      <c r="BH261" s="94"/>
      <c r="BI261" s="94"/>
      <c r="BJ261" s="94"/>
      <c r="BK261" s="94"/>
      <c r="BL261" s="94"/>
      <c r="BM261" s="94"/>
      <c r="BN261" s="94"/>
      <c r="BO261" s="94"/>
      <c r="BP261" s="94"/>
      <c r="BQ261" s="94"/>
      <c r="BR261" s="94"/>
      <c r="BS261" s="94"/>
      <c r="BT261" s="94"/>
      <c r="BU261" s="94"/>
    </row>
    <row r="262" spans="15:73"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4"/>
      <c r="BB262" s="94"/>
      <c r="BC262" s="94"/>
      <c r="BD262" s="94"/>
      <c r="BE262" s="94"/>
      <c r="BF262" s="94"/>
      <c r="BG262" s="94"/>
      <c r="BH262" s="94"/>
      <c r="BI262" s="94"/>
      <c r="BJ262" s="94"/>
      <c r="BK262" s="94"/>
      <c r="BL262" s="94"/>
      <c r="BM262" s="94"/>
      <c r="BN262" s="94"/>
      <c r="BO262" s="94"/>
      <c r="BP262" s="94"/>
      <c r="BQ262" s="94"/>
      <c r="BR262" s="94"/>
      <c r="BS262" s="94"/>
      <c r="BT262" s="94"/>
      <c r="BU262" s="94"/>
    </row>
    <row r="263" spans="15:73"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N263" s="94"/>
      <c r="AO263" s="94"/>
      <c r="AP263" s="94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4"/>
      <c r="BB263" s="94"/>
      <c r="BC263" s="94"/>
      <c r="BD263" s="94"/>
      <c r="BE263" s="94"/>
      <c r="BF263" s="94"/>
      <c r="BG263" s="94"/>
      <c r="BH263" s="94"/>
      <c r="BI263" s="94"/>
      <c r="BJ263" s="94"/>
      <c r="BK263" s="94"/>
      <c r="BL263" s="94"/>
      <c r="BM263" s="94"/>
      <c r="BN263" s="94"/>
      <c r="BO263" s="94"/>
      <c r="BP263" s="94"/>
      <c r="BQ263" s="94"/>
      <c r="BR263" s="94"/>
      <c r="BS263" s="94"/>
      <c r="BT263" s="94"/>
      <c r="BU263" s="94"/>
    </row>
    <row r="264" spans="15:73"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N264" s="94"/>
      <c r="AO264" s="94"/>
      <c r="AP264" s="94"/>
      <c r="AQ264" s="94"/>
      <c r="AR264" s="94"/>
      <c r="AS264" s="94"/>
      <c r="AT264" s="94"/>
      <c r="AU264" s="94"/>
      <c r="AV264" s="94"/>
      <c r="AW264" s="94"/>
      <c r="AX264" s="94"/>
      <c r="AY264" s="94"/>
      <c r="AZ264" s="94"/>
      <c r="BA264" s="94"/>
      <c r="BB264" s="94"/>
      <c r="BC264" s="94"/>
      <c r="BD264" s="94"/>
      <c r="BE264" s="94"/>
      <c r="BF264" s="94"/>
      <c r="BG264" s="94"/>
      <c r="BH264" s="94"/>
      <c r="BI264" s="94"/>
      <c r="BJ264" s="94"/>
      <c r="BK264" s="94"/>
      <c r="BL264" s="94"/>
      <c r="BM264" s="94"/>
      <c r="BN264" s="94"/>
      <c r="BO264" s="94"/>
      <c r="BP264" s="94"/>
      <c r="BQ264" s="94"/>
      <c r="BR264" s="94"/>
      <c r="BS264" s="94"/>
      <c r="BT264" s="94"/>
      <c r="BU264" s="94"/>
    </row>
    <row r="265" spans="15:73"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N265" s="94"/>
      <c r="AO265" s="94"/>
      <c r="AP265" s="94"/>
      <c r="AQ265" s="94"/>
      <c r="AR265" s="94"/>
      <c r="AS265" s="94"/>
      <c r="AT265" s="94"/>
      <c r="AU265" s="94"/>
      <c r="AV265" s="94"/>
      <c r="AW265" s="94"/>
      <c r="AX265" s="94"/>
      <c r="AY265" s="94"/>
      <c r="AZ265" s="94"/>
      <c r="BA265" s="94"/>
      <c r="BB265" s="94"/>
      <c r="BC265" s="94"/>
      <c r="BD265" s="94"/>
      <c r="BE265" s="94"/>
      <c r="BF265" s="94"/>
      <c r="BG265" s="94"/>
      <c r="BH265" s="94"/>
      <c r="BI265" s="94"/>
      <c r="BJ265" s="94"/>
      <c r="BK265" s="94"/>
      <c r="BL265" s="94"/>
      <c r="BM265" s="94"/>
      <c r="BN265" s="94"/>
      <c r="BO265" s="94"/>
      <c r="BP265" s="94"/>
      <c r="BQ265" s="94"/>
      <c r="BR265" s="94"/>
      <c r="BS265" s="94"/>
      <c r="BT265" s="94"/>
      <c r="BU265" s="94"/>
    </row>
    <row r="266" spans="15:73"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4"/>
      <c r="BB266" s="94"/>
      <c r="BC266" s="94"/>
      <c r="BD266" s="94"/>
      <c r="BE266" s="94"/>
      <c r="BF266" s="94"/>
      <c r="BG266" s="94"/>
      <c r="BH266" s="94"/>
      <c r="BI266" s="94"/>
      <c r="BJ266" s="94"/>
      <c r="BK266" s="94"/>
      <c r="BL266" s="94"/>
      <c r="BM266" s="94"/>
      <c r="BN266" s="94"/>
      <c r="BO266" s="94"/>
      <c r="BP266" s="94"/>
      <c r="BQ266" s="94"/>
      <c r="BR266" s="94"/>
      <c r="BS266" s="94"/>
      <c r="BT266" s="94"/>
      <c r="BU266" s="94"/>
    </row>
    <row r="267" spans="15:73"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4"/>
      <c r="BB267" s="94"/>
      <c r="BC267" s="94"/>
      <c r="BD267" s="94"/>
      <c r="BE267" s="94"/>
      <c r="BF267" s="94"/>
      <c r="BG267" s="94"/>
      <c r="BH267" s="94"/>
      <c r="BI267" s="94"/>
      <c r="BJ267" s="94"/>
      <c r="BK267" s="94"/>
      <c r="BL267" s="94"/>
      <c r="BM267" s="94"/>
      <c r="BN267" s="94"/>
      <c r="BO267" s="94"/>
      <c r="BP267" s="94"/>
      <c r="BQ267" s="94"/>
      <c r="BR267" s="94"/>
      <c r="BS267" s="94"/>
      <c r="BT267" s="94"/>
      <c r="BU267" s="94"/>
    </row>
    <row r="268" spans="15:73"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N268" s="94"/>
      <c r="AO268" s="94"/>
      <c r="AP268" s="94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4"/>
      <c r="BB268" s="94"/>
      <c r="BC268" s="94"/>
      <c r="BD268" s="94"/>
      <c r="BE268" s="94"/>
      <c r="BF268" s="94"/>
      <c r="BG268" s="94"/>
      <c r="BH268" s="94"/>
      <c r="BI268" s="94"/>
      <c r="BJ268" s="94"/>
      <c r="BK268" s="94"/>
      <c r="BL268" s="94"/>
      <c r="BM268" s="94"/>
      <c r="BN268" s="94"/>
      <c r="BO268" s="94"/>
      <c r="BP268" s="94"/>
      <c r="BQ268" s="94"/>
      <c r="BR268" s="94"/>
      <c r="BS268" s="94"/>
      <c r="BT268" s="94"/>
      <c r="BU268" s="94"/>
    </row>
    <row r="269" spans="15:73"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N269" s="94"/>
      <c r="AO269" s="94"/>
      <c r="AP269" s="94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4"/>
      <c r="BB269" s="94"/>
      <c r="BC269" s="94"/>
      <c r="BD269" s="94"/>
      <c r="BE269" s="94"/>
      <c r="BF269" s="94"/>
      <c r="BG269" s="94"/>
      <c r="BH269" s="94"/>
      <c r="BI269" s="94"/>
      <c r="BJ269" s="94"/>
      <c r="BK269" s="94"/>
      <c r="BL269" s="94"/>
      <c r="BM269" s="94"/>
      <c r="BN269" s="94"/>
      <c r="BO269" s="94"/>
      <c r="BP269" s="94"/>
      <c r="BQ269" s="94"/>
      <c r="BR269" s="94"/>
      <c r="BS269" s="94"/>
      <c r="BT269" s="94"/>
      <c r="BU269" s="94"/>
    </row>
    <row r="270" spans="15:73"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4"/>
      <c r="BR270" s="94"/>
      <c r="BS270" s="94"/>
      <c r="BT270" s="94"/>
      <c r="BU270" s="94"/>
    </row>
    <row r="271" spans="15:73"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  <c r="BG271" s="94"/>
      <c r="BH271" s="94"/>
      <c r="BI271" s="94"/>
      <c r="BJ271" s="94"/>
      <c r="BK271" s="94"/>
      <c r="BL271" s="94"/>
      <c r="BM271" s="94"/>
      <c r="BN271" s="94"/>
      <c r="BO271" s="94"/>
      <c r="BP271" s="94"/>
      <c r="BQ271" s="94"/>
      <c r="BR271" s="94"/>
      <c r="BS271" s="94"/>
      <c r="BT271" s="94"/>
      <c r="BU271" s="94"/>
    </row>
    <row r="272" spans="15:73"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4"/>
      <c r="BN272" s="94"/>
      <c r="BO272" s="94"/>
      <c r="BP272" s="94"/>
      <c r="BQ272" s="94"/>
      <c r="BR272" s="94"/>
      <c r="BS272" s="94"/>
      <c r="BT272" s="94"/>
      <c r="BU272" s="94"/>
    </row>
    <row r="273" spans="15:73"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N273" s="94"/>
      <c r="AO273" s="94"/>
      <c r="AP273" s="94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4"/>
      <c r="BB273" s="94"/>
      <c r="BC273" s="94"/>
      <c r="BD273" s="94"/>
      <c r="BE273" s="94"/>
      <c r="BF273" s="94"/>
      <c r="BG273" s="94"/>
      <c r="BH273" s="94"/>
      <c r="BI273" s="94"/>
      <c r="BJ273" s="94"/>
      <c r="BK273" s="94"/>
      <c r="BL273" s="94"/>
      <c r="BM273" s="94"/>
      <c r="BN273" s="94"/>
      <c r="BO273" s="94"/>
      <c r="BP273" s="94"/>
      <c r="BQ273" s="94"/>
      <c r="BR273" s="94"/>
      <c r="BS273" s="94"/>
      <c r="BT273" s="94"/>
      <c r="BU273" s="94"/>
    </row>
    <row r="274" spans="15:73"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N274" s="94"/>
      <c r="AO274" s="94"/>
      <c r="AP274" s="94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4"/>
      <c r="BB274" s="94"/>
      <c r="BC274" s="94"/>
      <c r="BD274" s="94"/>
      <c r="BE274" s="94"/>
      <c r="BF274" s="94"/>
      <c r="BG274" s="94"/>
      <c r="BH274" s="94"/>
      <c r="BI274" s="94"/>
      <c r="BJ274" s="94"/>
      <c r="BK274" s="94"/>
      <c r="BL274" s="94"/>
      <c r="BM274" s="94"/>
      <c r="BN274" s="94"/>
      <c r="BO274" s="94"/>
      <c r="BP274" s="94"/>
      <c r="BQ274" s="94"/>
      <c r="BR274" s="94"/>
      <c r="BS274" s="94"/>
      <c r="BT274" s="94"/>
      <c r="BU274" s="94"/>
    </row>
    <row r="275" spans="15:73"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N275" s="94"/>
      <c r="AO275" s="94"/>
      <c r="AP275" s="94"/>
      <c r="AQ275" s="94"/>
      <c r="AR275" s="94"/>
      <c r="AS275" s="94"/>
      <c r="AT275" s="94"/>
      <c r="AU275" s="94"/>
      <c r="AV275" s="94"/>
      <c r="AW275" s="94"/>
      <c r="AX275" s="94"/>
      <c r="AY275" s="94"/>
      <c r="AZ275" s="94"/>
      <c r="BA275" s="94"/>
      <c r="BB275" s="94"/>
      <c r="BC275" s="94"/>
      <c r="BD275" s="94"/>
      <c r="BE275" s="94"/>
      <c r="BF275" s="94"/>
      <c r="BG275" s="94"/>
      <c r="BH275" s="94"/>
      <c r="BI275" s="94"/>
      <c r="BJ275" s="94"/>
      <c r="BK275" s="94"/>
      <c r="BL275" s="94"/>
      <c r="BM275" s="94"/>
      <c r="BN275" s="94"/>
      <c r="BO275" s="94"/>
      <c r="BP275" s="94"/>
      <c r="BQ275" s="94"/>
      <c r="BR275" s="94"/>
      <c r="BS275" s="94"/>
      <c r="BT275" s="94"/>
      <c r="BU275" s="94"/>
    </row>
    <row r="276" spans="15:73"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N276" s="94"/>
      <c r="AO276" s="94"/>
      <c r="AP276" s="94"/>
      <c r="AQ276" s="94"/>
      <c r="AR276" s="94"/>
      <c r="AS276" s="94"/>
      <c r="AT276" s="94"/>
      <c r="AU276" s="94"/>
      <c r="AV276" s="94"/>
      <c r="AW276" s="94"/>
      <c r="AX276" s="94"/>
      <c r="AY276" s="94"/>
      <c r="AZ276" s="94"/>
      <c r="BA276" s="94"/>
      <c r="BB276" s="94"/>
      <c r="BC276" s="94"/>
      <c r="BD276" s="94"/>
      <c r="BE276" s="94"/>
      <c r="BF276" s="94"/>
      <c r="BG276" s="94"/>
      <c r="BH276" s="94"/>
      <c r="BI276" s="94"/>
      <c r="BJ276" s="94"/>
      <c r="BK276" s="94"/>
      <c r="BL276" s="94"/>
      <c r="BM276" s="94"/>
      <c r="BN276" s="94"/>
      <c r="BO276" s="94"/>
      <c r="BP276" s="94"/>
      <c r="BQ276" s="94"/>
      <c r="BR276" s="94"/>
      <c r="BS276" s="94"/>
      <c r="BT276" s="94"/>
      <c r="BU276" s="94"/>
    </row>
    <row r="277" spans="15:73"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N277" s="94"/>
      <c r="AO277" s="94"/>
      <c r="AP277" s="94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4"/>
      <c r="BB277" s="94"/>
      <c r="BC277" s="94"/>
      <c r="BD277" s="94"/>
      <c r="BE277" s="94"/>
      <c r="BF277" s="94"/>
      <c r="BG277" s="94"/>
      <c r="BH277" s="94"/>
      <c r="BI277" s="94"/>
      <c r="BJ277" s="94"/>
      <c r="BK277" s="94"/>
      <c r="BL277" s="94"/>
      <c r="BM277" s="94"/>
      <c r="BN277" s="94"/>
      <c r="BO277" s="94"/>
      <c r="BP277" s="94"/>
      <c r="BQ277" s="94"/>
      <c r="BR277" s="94"/>
      <c r="BS277" s="94"/>
      <c r="BT277" s="94"/>
      <c r="BU277" s="94"/>
    </row>
    <row r="278" spans="15:73"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N278" s="94"/>
      <c r="AO278" s="94"/>
      <c r="AP278" s="94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4"/>
      <c r="BB278" s="94"/>
      <c r="BC278" s="94"/>
      <c r="BD278" s="94"/>
      <c r="BE278" s="94"/>
      <c r="BF278" s="94"/>
      <c r="BG278" s="94"/>
      <c r="BH278" s="94"/>
      <c r="BI278" s="94"/>
      <c r="BJ278" s="94"/>
      <c r="BK278" s="94"/>
      <c r="BL278" s="94"/>
      <c r="BM278" s="94"/>
      <c r="BN278" s="94"/>
      <c r="BO278" s="94"/>
      <c r="BP278" s="94"/>
      <c r="BQ278" s="94"/>
      <c r="BR278" s="94"/>
      <c r="BS278" s="94"/>
      <c r="BT278" s="94"/>
      <c r="BU278" s="94"/>
    </row>
    <row r="279" spans="15:73"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N279" s="94"/>
      <c r="AO279" s="94"/>
      <c r="AP279" s="94"/>
      <c r="AQ279" s="94"/>
      <c r="AR279" s="94"/>
      <c r="AS279" s="94"/>
      <c r="AT279" s="94"/>
      <c r="AU279" s="94"/>
      <c r="AV279" s="94"/>
      <c r="AW279" s="94"/>
      <c r="AX279" s="94"/>
      <c r="AY279" s="94"/>
      <c r="AZ279" s="94"/>
      <c r="BA279" s="94"/>
      <c r="BB279" s="94"/>
      <c r="BC279" s="94"/>
      <c r="BD279" s="94"/>
      <c r="BE279" s="94"/>
      <c r="BF279" s="94"/>
      <c r="BG279" s="94"/>
      <c r="BH279" s="94"/>
      <c r="BI279" s="94"/>
      <c r="BJ279" s="94"/>
      <c r="BK279" s="94"/>
      <c r="BL279" s="94"/>
      <c r="BM279" s="94"/>
      <c r="BN279" s="94"/>
      <c r="BO279" s="94"/>
      <c r="BP279" s="94"/>
      <c r="BQ279" s="94"/>
      <c r="BR279" s="94"/>
      <c r="BS279" s="94"/>
      <c r="BT279" s="94"/>
      <c r="BU279" s="94"/>
    </row>
    <row r="280" spans="15:73"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N280" s="94"/>
      <c r="AO280" s="94"/>
      <c r="AP280" s="94"/>
      <c r="AQ280" s="94"/>
      <c r="AR280" s="94"/>
      <c r="AS280" s="94"/>
      <c r="AT280" s="94"/>
      <c r="AU280" s="94"/>
      <c r="AV280" s="94"/>
      <c r="AW280" s="94"/>
      <c r="AX280" s="94"/>
      <c r="AY280" s="94"/>
      <c r="AZ280" s="94"/>
      <c r="BA280" s="94"/>
      <c r="BB280" s="94"/>
      <c r="BC280" s="94"/>
      <c r="BD280" s="94"/>
      <c r="BE280" s="94"/>
      <c r="BF280" s="94"/>
      <c r="BG280" s="94"/>
      <c r="BH280" s="94"/>
      <c r="BI280" s="94"/>
      <c r="BJ280" s="94"/>
      <c r="BK280" s="94"/>
      <c r="BL280" s="94"/>
      <c r="BM280" s="94"/>
      <c r="BN280" s="94"/>
      <c r="BO280" s="94"/>
      <c r="BP280" s="94"/>
      <c r="BQ280" s="94"/>
      <c r="BR280" s="94"/>
      <c r="BS280" s="94"/>
      <c r="BT280" s="94"/>
      <c r="BU280" s="94"/>
    </row>
    <row r="281" spans="15:73"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N281" s="94"/>
      <c r="AO281" s="94"/>
      <c r="AP281" s="94"/>
      <c r="AQ281" s="94"/>
      <c r="AR281" s="94"/>
      <c r="AS281" s="94"/>
      <c r="AT281" s="94"/>
      <c r="AU281" s="94"/>
      <c r="AV281" s="94"/>
      <c r="AW281" s="94"/>
      <c r="AX281" s="94"/>
      <c r="AY281" s="94"/>
      <c r="AZ281" s="94"/>
      <c r="BA281" s="94"/>
      <c r="BB281" s="94"/>
      <c r="BC281" s="94"/>
      <c r="BD281" s="94"/>
      <c r="BE281" s="94"/>
      <c r="BF281" s="94"/>
      <c r="BG281" s="94"/>
      <c r="BH281" s="94"/>
      <c r="BI281" s="94"/>
      <c r="BJ281" s="94"/>
      <c r="BK281" s="94"/>
      <c r="BL281" s="94"/>
      <c r="BM281" s="94"/>
      <c r="BN281" s="94"/>
      <c r="BO281" s="94"/>
      <c r="BP281" s="94"/>
      <c r="BQ281" s="94"/>
      <c r="BR281" s="94"/>
      <c r="BS281" s="94"/>
      <c r="BT281" s="94"/>
      <c r="BU281" s="94"/>
    </row>
    <row r="282" spans="15:73"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AN282" s="94"/>
      <c r="AO282" s="94"/>
      <c r="AP282" s="94"/>
      <c r="AQ282" s="94"/>
      <c r="AR282" s="94"/>
      <c r="AS282" s="94"/>
      <c r="AT282" s="94"/>
      <c r="AU282" s="94"/>
      <c r="AV282" s="94"/>
      <c r="AW282" s="94"/>
      <c r="AX282" s="94"/>
      <c r="AY282" s="94"/>
      <c r="AZ282" s="94"/>
      <c r="BA282" s="94"/>
      <c r="BB282" s="94"/>
      <c r="BC282" s="94"/>
      <c r="BD282" s="94"/>
      <c r="BE282" s="94"/>
      <c r="BF282" s="94"/>
      <c r="BG282" s="94"/>
      <c r="BH282" s="94"/>
      <c r="BI282" s="94"/>
      <c r="BJ282" s="94"/>
      <c r="BK282" s="94"/>
      <c r="BL282" s="94"/>
      <c r="BM282" s="94"/>
      <c r="BN282" s="94"/>
      <c r="BO282" s="94"/>
      <c r="BP282" s="94"/>
      <c r="BQ282" s="94"/>
      <c r="BR282" s="94"/>
      <c r="BS282" s="94"/>
      <c r="BT282" s="94"/>
      <c r="BU282" s="94"/>
    </row>
    <row r="283" spans="15:73"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N283" s="94"/>
      <c r="AO283" s="94"/>
      <c r="AP283" s="94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4"/>
      <c r="BB283" s="94"/>
      <c r="BC283" s="94"/>
      <c r="BD283" s="94"/>
      <c r="BE283" s="94"/>
      <c r="BF283" s="94"/>
      <c r="BG283" s="94"/>
      <c r="BH283" s="94"/>
      <c r="BI283" s="94"/>
      <c r="BJ283" s="94"/>
      <c r="BK283" s="94"/>
      <c r="BL283" s="94"/>
      <c r="BM283" s="94"/>
      <c r="BN283" s="94"/>
      <c r="BO283" s="94"/>
      <c r="BP283" s="94"/>
      <c r="BQ283" s="94"/>
      <c r="BR283" s="94"/>
      <c r="BS283" s="94"/>
      <c r="BT283" s="94"/>
      <c r="BU283" s="94"/>
    </row>
    <row r="284" spans="15:73"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N284" s="94"/>
      <c r="AO284" s="94"/>
      <c r="AP284" s="94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4"/>
      <c r="BB284" s="94"/>
      <c r="BC284" s="94"/>
      <c r="BD284" s="94"/>
      <c r="BE284" s="94"/>
      <c r="BF284" s="94"/>
      <c r="BG284" s="94"/>
      <c r="BH284" s="94"/>
      <c r="BI284" s="94"/>
      <c r="BJ284" s="94"/>
      <c r="BK284" s="94"/>
      <c r="BL284" s="94"/>
      <c r="BM284" s="94"/>
      <c r="BN284" s="94"/>
      <c r="BO284" s="94"/>
      <c r="BP284" s="94"/>
      <c r="BQ284" s="94"/>
      <c r="BR284" s="94"/>
      <c r="BS284" s="94"/>
      <c r="BT284" s="94"/>
      <c r="BU284" s="94"/>
    </row>
    <row r="285" spans="15:73"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N285" s="94"/>
      <c r="AO285" s="94"/>
      <c r="AP285" s="94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4"/>
      <c r="BB285" s="94"/>
      <c r="BC285" s="94"/>
      <c r="BD285" s="94"/>
      <c r="BE285" s="94"/>
      <c r="BF285" s="94"/>
      <c r="BG285" s="94"/>
      <c r="BH285" s="94"/>
      <c r="BI285" s="94"/>
      <c r="BJ285" s="94"/>
      <c r="BK285" s="94"/>
      <c r="BL285" s="94"/>
      <c r="BM285" s="94"/>
      <c r="BN285" s="94"/>
      <c r="BO285" s="94"/>
      <c r="BP285" s="94"/>
      <c r="BQ285" s="94"/>
      <c r="BR285" s="94"/>
      <c r="BS285" s="94"/>
      <c r="BT285" s="94"/>
      <c r="BU285" s="94"/>
    </row>
    <row r="286" spans="15:73"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AN286" s="94"/>
      <c r="AO286" s="94"/>
      <c r="AP286" s="94"/>
      <c r="AQ286" s="94"/>
      <c r="AR286" s="94"/>
      <c r="AS286" s="94"/>
      <c r="AT286" s="94"/>
      <c r="AU286" s="94"/>
      <c r="AV286" s="94"/>
      <c r="AW286" s="94"/>
      <c r="AX286" s="94"/>
      <c r="AY286" s="94"/>
      <c r="AZ286" s="94"/>
      <c r="BA286" s="94"/>
      <c r="BB286" s="94"/>
      <c r="BC286" s="94"/>
      <c r="BD286" s="94"/>
      <c r="BE286" s="94"/>
      <c r="BF286" s="94"/>
      <c r="BG286" s="94"/>
      <c r="BH286" s="94"/>
      <c r="BI286" s="94"/>
      <c r="BJ286" s="94"/>
      <c r="BK286" s="94"/>
      <c r="BL286" s="94"/>
      <c r="BM286" s="94"/>
      <c r="BN286" s="94"/>
      <c r="BO286" s="94"/>
      <c r="BP286" s="94"/>
      <c r="BQ286" s="94"/>
      <c r="BR286" s="94"/>
      <c r="BS286" s="94"/>
      <c r="BT286" s="94"/>
      <c r="BU286" s="94"/>
    </row>
    <row r="287" spans="15:73"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N287" s="94"/>
      <c r="AO287" s="94"/>
      <c r="AP287" s="94"/>
      <c r="AQ287" s="94"/>
      <c r="AR287" s="94"/>
      <c r="AS287" s="94"/>
      <c r="AT287" s="94"/>
      <c r="AU287" s="94"/>
      <c r="AV287" s="94"/>
      <c r="AW287" s="94"/>
      <c r="AX287" s="94"/>
      <c r="AY287" s="94"/>
      <c r="AZ287" s="94"/>
      <c r="BA287" s="94"/>
      <c r="BB287" s="94"/>
      <c r="BC287" s="94"/>
      <c r="BD287" s="94"/>
      <c r="BE287" s="94"/>
      <c r="BF287" s="94"/>
      <c r="BG287" s="94"/>
      <c r="BH287" s="94"/>
      <c r="BI287" s="94"/>
      <c r="BJ287" s="94"/>
      <c r="BK287" s="94"/>
      <c r="BL287" s="94"/>
      <c r="BM287" s="94"/>
      <c r="BN287" s="94"/>
      <c r="BO287" s="94"/>
      <c r="BP287" s="94"/>
      <c r="BQ287" s="94"/>
      <c r="BR287" s="94"/>
      <c r="BS287" s="94"/>
      <c r="BT287" s="94"/>
      <c r="BU287" s="94"/>
    </row>
    <row r="288" spans="15:73"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N288" s="94"/>
      <c r="AO288" s="94"/>
      <c r="AP288" s="94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4"/>
      <c r="BB288" s="94"/>
      <c r="BC288" s="94"/>
      <c r="BD288" s="94"/>
      <c r="BE288" s="94"/>
      <c r="BF288" s="94"/>
      <c r="BG288" s="94"/>
      <c r="BH288" s="94"/>
      <c r="BI288" s="94"/>
      <c r="BJ288" s="94"/>
      <c r="BK288" s="94"/>
      <c r="BL288" s="94"/>
      <c r="BM288" s="94"/>
      <c r="BN288" s="94"/>
      <c r="BO288" s="94"/>
      <c r="BP288" s="94"/>
      <c r="BQ288" s="94"/>
      <c r="BR288" s="94"/>
      <c r="BS288" s="94"/>
      <c r="BT288" s="94"/>
      <c r="BU288" s="94"/>
    </row>
    <row r="289" spans="15:73"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AN289" s="94"/>
      <c r="AO289" s="94"/>
      <c r="AP289" s="94"/>
      <c r="AQ289" s="94"/>
      <c r="AR289" s="94"/>
      <c r="AS289" s="94"/>
      <c r="AT289" s="94"/>
      <c r="AU289" s="94"/>
      <c r="AV289" s="94"/>
      <c r="AW289" s="94"/>
      <c r="AX289" s="94"/>
      <c r="AY289" s="94"/>
      <c r="AZ289" s="94"/>
      <c r="BA289" s="94"/>
      <c r="BB289" s="94"/>
      <c r="BC289" s="94"/>
      <c r="BD289" s="94"/>
      <c r="BE289" s="94"/>
      <c r="BF289" s="94"/>
      <c r="BG289" s="94"/>
      <c r="BH289" s="94"/>
      <c r="BI289" s="94"/>
      <c r="BJ289" s="94"/>
      <c r="BK289" s="94"/>
      <c r="BL289" s="94"/>
      <c r="BM289" s="94"/>
      <c r="BN289" s="94"/>
      <c r="BO289" s="94"/>
      <c r="BP289" s="94"/>
      <c r="BQ289" s="94"/>
      <c r="BR289" s="94"/>
      <c r="BS289" s="94"/>
      <c r="BT289" s="94"/>
      <c r="BU289" s="94"/>
    </row>
    <row r="290" spans="15:73"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N290" s="94"/>
      <c r="AO290" s="94"/>
      <c r="AP290" s="94"/>
      <c r="AQ290" s="94"/>
      <c r="AR290" s="94"/>
      <c r="AS290" s="94"/>
      <c r="AT290" s="94"/>
      <c r="AU290" s="94"/>
      <c r="AV290" s="94"/>
      <c r="AW290" s="94"/>
      <c r="AX290" s="94"/>
      <c r="AY290" s="94"/>
      <c r="AZ290" s="94"/>
      <c r="BA290" s="94"/>
      <c r="BB290" s="94"/>
      <c r="BC290" s="94"/>
      <c r="BD290" s="94"/>
      <c r="BE290" s="94"/>
      <c r="BF290" s="94"/>
      <c r="BG290" s="94"/>
      <c r="BH290" s="94"/>
      <c r="BI290" s="94"/>
      <c r="BJ290" s="94"/>
      <c r="BK290" s="94"/>
      <c r="BL290" s="94"/>
      <c r="BM290" s="94"/>
      <c r="BN290" s="94"/>
      <c r="BO290" s="94"/>
      <c r="BP290" s="94"/>
      <c r="BQ290" s="94"/>
      <c r="BR290" s="94"/>
      <c r="BS290" s="94"/>
      <c r="BT290" s="94"/>
      <c r="BU290" s="94"/>
    </row>
    <row r="291" spans="15:73"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N291" s="94"/>
      <c r="AO291" s="94"/>
      <c r="AP291" s="94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</row>
    <row r="292" spans="15:73"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N292" s="94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</row>
    <row r="293" spans="15:73"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N293" s="94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</row>
    <row r="294" spans="15:73"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AN294" s="94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</row>
    <row r="295" spans="15:73"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N295" s="94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</row>
    <row r="296" spans="15:73"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N296" s="94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</row>
    <row r="297" spans="15:73"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N297" s="94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</row>
    <row r="298" spans="15:73"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N298" s="94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</row>
    <row r="299" spans="15:73"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N299" s="94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</row>
    <row r="300" spans="15:73"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N300" s="94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</row>
    <row r="301" spans="15:73"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N301" s="94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</row>
    <row r="302" spans="15:73"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AN302" s="94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</row>
    <row r="303" spans="15:73"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AN303" s="94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</row>
    <row r="304" spans="15:73"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  <c r="AC304" s="94"/>
      <c r="AD304" s="94"/>
      <c r="AE304" s="94"/>
      <c r="AF304" s="94"/>
      <c r="AG304" s="94"/>
      <c r="AH304" s="94"/>
      <c r="AI304" s="94"/>
      <c r="AJ304" s="94"/>
      <c r="AK304" s="94"/>
      <c r="AL304" s="94"/>
      <c r="AM304" s="94"/>
      <c r="AN304" s="94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</row>
    <row r="305" spans="15:73"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N305" s="94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</row>
    <row r="306" spans="15:73"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AN306" s="94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</row>
    <row r="307" spans="15:73"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  <c r="AC307" s="94"/>
      <c r="AD307" s="94"/>
      <c r="AE307" s="94"/>
      <c r="AF307" s="94"/>
      <c r="AG307" s="94"/>
      <c r="AH307" s="94"/>
      <c r="AI307" s="94"/>
      <c r="AJ307" s="94"/>
      <c r="AK307" s="94"/>
      <c r="AL307" s="94"/>
      <c r="AM307" s="94"/>
      <c r="AN307" s="94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</row>
    <row r="308" spans="15:73"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AN308" s="94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</row>
    <row r="309" spans="15:73"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94"/>
      <c r="AN309" s="94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</row>
    <row r="310" spans="15:73"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  <c r="AC310" s="94"/>
      <c r="AD310" s="94"/>
      <c r="AE310" s="94"/>
      <c r="AF310" s="94"/>
      <c r="AG310" s="94"/>
      <c r="AH310" s="94"/>
      <c r="AI310" s="94"/>
      <c r="AJ310" s="94"/>
      <c r="AK310" s="94"/>
      <c r="AL310" s="94"/>
      <c r="AM310" s="94"/>
      <c r="AN310" s="94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</row>
    <row r="311" spans="15:73"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  <c r="AC311" s="94"/>
      <c r="AD311" s="94"/>
      <c r="AE311" s="94"/>
      <c r="AF311" s="94"/>
      <c r="AG311" s="94"/>
      <c r="AH311" s="94"/>
      <c r="AI311" s="94"/>
      <c r="AJ311" s="94"/>
      <c r="AK311" s="94"/>
      <c r="AL311" s="94"/>
      <c r="AM311" s="94"/>
      <c r="AN311" s="94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</row>
    <row r="312" spans="15:73"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  <c r="AC312" s="94"/>
      <c r="AD312" s="94"/>
      <c r="AE312" s="94"/>
      <c r="AF312" s="94"/>
      <c r="AG312" s="94"/>
      <c r="AH312" s="94"/>
      <c r="AI312" s="94"/>
      <c r="AJ312" s="94"/>
      <c r="AK312" s="94"/>
      <c r="AL312" s="94"/>
      <c r="AM312" s="94"/>
      <c r="AN312" s="94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</row>
    <row r="313" spans="15:73"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N313" s="94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</row>
    <row r="314" spans="15:73"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  <c r="AC314" s="94"/>
      <c r="AD314" s="94"/>
      <c r="AE314" s="94"/>
      <c r="AF314" s="94"/>
      <c r="AG314" s="94"/>
      <c r="AH314" s="94"/>
      <c r="AI314" s="94"/>
      <c r="AJ314" s="94"/>
      <c r="AK314" s="94"/>
      <c r="AL314" s="94"/>
      <c r="AM314" s="94"/>
      <c r="AN314" s="94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</row>
    <row r="315" spans="15:73"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AN315" s="94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</row>
    <row r="316" spans="15:73"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  <c r="AC316" s="94"/>
      <c r="AD316" s="94"/>
      <c r="AE316" s="94"/>
      <c r="AF316" s="94"/>
      <c r="AG316" s="94"/>
      <c r="AH316" s="94"/>
      <c r="AI316" s="94"/>
      <c r="AJ316" s="94"/>
      <c r="AK316" s="94"/>
      <c r="AL316" s="94"/>
      <c r="AM316" s="94"/>
      <c r="AN316" s="94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</row>
    <row r="317" spans="15:73"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  <c r="AC317" s="94"/>
      <c r="AD317" s="94"/>
      <c r="AE317" s="94"/>
      <c r="AF317" s="94"/>
      <c r="AG317" s="94"/>
      <c r="AH317" s="94"/>
      <c r="AI317" s="94"/>
      <c r="AJ317" s="94"/>
      <c r="AK317" s="94"/>
      <c r="AL317" s="94"/>
      <c r="AM317" s="94"/>
      <c r="AN317" s="94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</row>
    <row r="318" spans="15:73"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N318" s="94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</row>
    <row r="319" spans="15:73"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N319" s="94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</row>
    <row r="320" spans="15:73"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  <c r="AC320" s="94"/>
      <c r="AD320" s="94"/>
      <c r="AE320" s="94"/>
      <c r="AF320" s="94"/>
      <c r="AG320" s="94"/>
      <c r="AH320" s="94"/>
      <c r="AI320" s="94"/>
      <c r="AJ320" s="94"/>
      <c r="AK320" s="94"/>
      <c r="AL320" s="94"/>
      <c r="AM320" s="94"/>
      <c r="AN320" s="94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</row>
    <row r="321" spans="15:73"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AN321" s="94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</row>
    <row r="322" spans="15:73"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AN322" s="94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</row>
    <row r="323" spans="15:73"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N323" s="94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</row>
    <row r="324" spans="15:73"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AN324" s="94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</row>
    <row r="325" spans="15:73"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AN325" s="94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</row>
    <row r="326" spans="15:73"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AN326" s="94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</row>
    <row r="327" spans="15:73"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N327" s="94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</row>
    <row r="328" spans="15:73"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N328" s="94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</row>
    <row r="329" spans="15:73"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N329" s="94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</row>
    <row r="330" spans="15:73"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AN330" s="94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</row>
    <row r="331" spans="15:73"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/>
      <c r="AM331" s="94"/>
      <c r="AN331" s="94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</row>
    <row r="332" spans="15:73"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N332" s="94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</row>
    <row r="333" spans="15:73"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N333" s="94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</row>
    <row r="334" spans="15:73"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  <c r="AK334" s="94"/>
      <c r="AL334" s="94"/>
      <c r="AM334" s="94"/>
      <c r="AN334" s="94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</row>
    <row r="335" spans="15:73"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4"/>
      <c r="AD335" s="94"/>
      <c r="AE335" s="94"/>
      <c r="AF335" s="94"/>
      <c r="AG335" s="94"/>
      <c r="AH335" s="94"/>
      <c r="AI335" s="94"/>
      <c r="AJ335" s="94"/>
      <c r="AK335" s="94"/>
      <c r="AL335" s="94"/>
      <c r="AM335" s="94"/>
      <c r="AN335" s="94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</row>
    <row r="336" spans="15:73"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N336" s="94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</row>
    <row r="337" spans="15:73"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N337" s="94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</row>
    <row r="338" spans="15:73"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N338" s="94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</row>
    <row r="339" spans="15:73"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AN339" s="94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</row>
    <row r="340" spans="15:73"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N340" s="94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</row>
    <row r="341" spans="15:73"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</row>
    <row r="342" spans="15:73"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N342" s="94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</row>
    <row r="343" spans="15:73"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N343" s="94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</row>
    <row r="344" spans="15:73"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N344" s="94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</row>
    <row r="345" spans="15:73"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N345" s="94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</row>
    <row r="346" spans="15:73"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N346" s="94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</row>
    <row r="347" spans="15:73"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N347" s="94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</row>
    <row r="348" spans="15:73"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</row>
    <row r="349" spans="15:73"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N349" s="94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</row>
    <row r="350" spans="15:73"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N350" s="94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</row>
    <row r="351" spans="15:73"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N351" s="94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</row>
    <row r="352" spans="15:73"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N352" s="94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</row>
    <row r="353" spans="15:73"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N353" s="94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</row>
    <row r="354" spans="15:73"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N354" s="94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</row>
    <row r="355" spans="15:73"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N355" s="94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</row>
    <row r="356" spans="15:73"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</row>
    <row r="357" spans="15:73"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AN357" s="94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</row>
    <row r="358" spans="15:73"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AN358" s="94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</row>
    <row r="359" spans="15:73"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AN359" s="94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</row>
    <row r="360" spans="15:73"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AN360" s="94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</row>
    <row r="361" spans="15:73"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AN361" s="94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</row>
    <row r="362" spans="15:73"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  <c r="AC362" s="94"/>
      <c r="AD362" s="94"/>
      <c r="AE362" s="94"/>
      <c r="AF362" s="94"/>
      <c r="AG362" s="94"/>
      <c r="AH362" s="94"/>
      <c r="AI362" s="94"/>
      <c r="AJ362" s="94"/>
      <c r="AK362" s="94"/>
      <c r="AL362" s="94"/>
      <c r="AM362" s="94"/>
      <c r="AN362" s="94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</row>
    <row r="363" spans="15:73"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AN363" s="94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</row>
    <row r="364" spans="15:73"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N364" s="94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</row>
    <row r="365" spans="15:73"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N365" s="94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</row>
    <row r="366" spans="15:73"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AN366" s="94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</row>
    <row r="367" spans="15:73"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AN367" s="94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</row>
    <row r="368" spans="15:73"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N368" s="94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</row>
    <row r="369" spans="15:73"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AN369" s="94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</row>
    <row r="370" spans="15:73"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AN370" s="94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</row>
    <row r="371" spans="15:73"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AN371" s="94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</row>
    <row r="372" spans="15:73"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N372" s="94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</row>
    <row r="373" spans="15:73"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AN373" s="94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</row>
    <row r="374" spans="15:73"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AN374" s="94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</row>
    <row r="375" spans="15:73"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AN375" s="94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</row>
    <row r="376" spans="15:73"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AN376" s="94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</row>
    <row r="377" spans="15:73"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AN377" s="94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</row>
    <row r="378" spans="15:73"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AN378" s="94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</row>
    <row r="379" spans="15:73"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  <c r="AC379" s="94"/>
      <c r="AD379" s="94"/>
      <c r="AE379" s="94"/>
      <c r="AF379" s="94"/>
      <c r="AG379" s="94"/>
      <c r="AH379" s="94"/>
      <c r="AI379" s="94"/>
      <c r="AJ379" s="94"/>
      <c r="AK379" s="94"/>
      <c r="AL379" s="94"/>
      <c r="AM379" s="94"/>
      <c r="AN379" s="94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</row>
    <row r="380" spans="15:73"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AN380" s="94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</row>
    <row r="381" spans="15:73"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  <c r="AC381" s="94"/>
      <c r="AD381" s="94"/>
      <c r="AE381" s="94"/>
      <c r="AF381" s="94"/>
      <c r="AG381" s="94"/>
      <c r="AH381" s="94"/>
      <c r="AI381" s="94"/>
      <c r="AJ381" s="94"/>
      <c r="AK381" s="94"/>
      <c r="AL381" s="94"/>
      <c r="AM381" s="94"/>
      <c r="AN381" s="94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</row>
    <row r="382" spans="15:73"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  <c r="AC382" s="94"/>
      <c r="AD382" s="94"/>
      <c r="AE382" s="94"/>
      <c r="AF382" s="94"/>
      <c r="AG382" s="94"/>
      <c r="AH382" s="94"/>
      <c r="AI382" s="94"/>
      <c r="AJ382" s="94"/>
      <c r="AK382" s="94"/>
      <c r="AL382" s="94"/>
      <c r="AM382" s="94"/>
      <c r="AN382" s="94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</row>
    <row r="383" spans="15:73"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  <c r="AC383" s="94"/>
      <c r="AD383" s="94"/>
      <c r="AE383" s="94"/>
      <c r="AF383" s="94"/>
      <c r="AG383" s="94"/>
      <c r="AH383" s="94"/>
      <c r="AI383" s="94"/>
      <c r="AJ383" s="94"/>
      <c r="AK383" s="94"/>
      <c r="AL383" s="94"/>
      <c r="AM383" s="94"/>
      <c r="AN383" s="94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</row>
    <row r="384" spans="15:73"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  <c r="AC384" s="94"/>
      <c r="AD384" s="94"/>
      <c r="AE384" s="94"/>
      <c r="AF384" s="94"/>
      <c r="AG384" s="94"/>
      <c r="AH384" s="94"/>
      <c r="AI384" s="94"/>
      <c r="AJ384" s="94"/>
      <c r="AK384" s="94"/>
      <c r="AL384" s="94"/>
      <c r="AM384" s="94"/>
      <c r="AN384" s="94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</row>
    <row r="385" spans="15:73"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  <c r="AC385" s="94"/>
      <c r="AD385" s="94"/>
      <c r="AE385" s="94"/>
      <c r="AF385" s="94"/>
      <c r="AG385" s="94"/>
      <c r="AH385" s="94"/>
      <c r="AI385" s="94"/>
      <c r="AJ385" s="94"/>
      <c r="AK385" s="94"/>
      <c r="AL385" s="94"/>
      <c r="AM385" s="94"/>
      <c r="AN385" s="94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</row>
    <row r="386" spans="15:73"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4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AN386" s="94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</row>
    <row r="387" spans="15:73"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</row>
    <row r="388" spans="15:73"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AN388" s="94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</row>
    <row r="389" spans="15:73"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AN389" s="94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</row>
    <row r="390" spans="15:73"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4"/>
      <c r="AC390" s="94"/>
      <c r="AD390" s="94"/>
      <c r="AE390" s="94"/>
      <c r="AF390" s="94"/>
      <c r="AG390" s="94"/>
      <c r="AH390" s="94"/>
      <c r="AI390" s="94"/>
      <c r="AJ390" s="94"/>
      <c r="AK390" s="94"/>
      <c r="AL390" s="94"/>
      <c r="AM390" s="94"/>
      <c r="AN390" s="94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</row>
    <row r="391" spans="15:73"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</row>
    <row r="392" spans="15:73"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AN392" s="94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</row>
    <row r="393" spans="15:73"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4"/>
      <c r="AC393" s="94"/>
      <c r="AD393" s="94"/>
      <c r="AE393" s="94"/>
      <c r="AF393" s="94"/>
      <c r="AG393" s="94"/>
      <c r="AH393" s="94"/>
      <c r="AI393" s="94"/>
      <c r="AJ393" s="94"/>
      <c r="AK393" s="94"/>
      <c r="AL393" s="94"/>
      <c r="AM393" s="94"/>
      <c r="AN393" s="94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</row>
    <row r="394" spans="15:73"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4"/>
      <c r="AC394" s="94"/>
      <c r="AD394" s="94"/>
      <c r="AE394" s="94"/>
      <c r="AF394" s="94"/>
      <c r="AG394" s="94"/>
      <c r="AH394" s="94"/>
      <c r="AI394" s="94"/>
      <c r="AJ394" s="94"/>
      <c r="AK394" s="94"/>
      <c r="AL394" s="94"/>
      <c r="AM394" s="94"/>
      <c r="AN394" s="94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</row>
    <row r="395" spans="15:73"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  <c r="AC395" s="94"/>
      <c r="AD395" s="94"/>
      <c r="AE395" s="94"/>
      <c r="AF395" s="94"/>
      <c r="AG395" s="94"/>
      <c r="AH395" s="94"/>
      <c r="AI395" s="94"/>
      <c r="AJ395" s="94"/>
      <c r="AK395" s="94"/>
      <c r="AL395" s="94"/>
      <c r="AM395" s="94"/>
      <c r="AN395" s="94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</row>
    <row r="396" spans="15:73"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  <c r="AC396" s="94"/>
      <c r="AD396" s="94"/>
      <c r="AE396" s="94"/>
      <c r="AF396" s="94"/>
      <c r="AG396" s="94"/>
      <c r="AH396" s="94"/>
      <c r="AI396" s="94"/>
      <c r="AJ396" s="94"/>
      <c r="AK396" s="94"/>
      <c r="AL396" s="94"/>
      <c r="AM396" s="94"/>
      <c r="AN396" s="94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</row>
    <row r="397" spans="15:73"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AN397" s="94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</row>
    <row r="398" spans="15:73"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AN398" s="94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</row>
    <row r="399" spans="15:73"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AN399" s="94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</row>
    <row r="400" spans="15:73"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AN400" s="94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</row>
    <row r="401" spans="15:73"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AN401" s="94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</row>
    <row r="402" spans="15:73"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AN402" s="94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</row>
    <row r="403" spans="15:73"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AN403" s="94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</row>
    <row r="404" spans="15:73"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AN404" s="94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</row>
    <row r="405" spans="15:73"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  <c r="AC405" s="94"/>
      <c r="AD405" s="94"/>
      <c r="AE405" s="94"/>
      <c r="AF405" s="94"/>
      <c r="AG405" s="94"/>
      <c r="AH405" s="94"/>
      <c r="AI405" s="94"/>
      <c r="AJ405" s="94"/>
      <c r="AK405" s="94"/>
      <c r="AL405" s="94"/>
      <c r="AM405" s="94"/>
      <c r="AN405" s="94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</row>
    <row r="406" spans="15:73"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4"/>
      <c r="AC406" s="94"/>
      <c r="AD406" s="94"/>
      <c r="AE406" s="94"/>
      <c r="AF406" s="94"/>
      <c r="AG406" s="94"/>
      <c r="AH406" s="94"/>
      <c r="AI406" s="94"/>
      <c r="AJ406" s="94"/>
      <c r="AK406" s="94"/>
      <c r="AL406" s="94"/>
      <c r="AM406" s="94"/>
      <c r="AN406" s="94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</row>
    <row r="407" spans="15:73"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  <c r="AC407" s="94"/>
      <c r="AD407" s="94"/>
      <c r="AE407" s="94"/>
      <c r="AF407" s="94"/>
      <c r="AG407" s="94"/>
      <c r="AH407" s="94"/>
      <c r="AI407" s="94"/>
      <c r="AJ407" s="94"/>
      <c r="AK407" s="94"/>
      <c r="AL407" s="94"/>
      <c r="AM407" s="94"/>
      <c r="AN407" s="94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</row>
    <row r="408" spans="15:73"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4"/>
      <c r="AC408" s="94"/>
      <c r="AD408" s="94"/>
      <c r="AE408" s="94"/>
      <c r="AF408" s="94"/>
      <c r="AG408" s="94"/>
      <c r="AH408" s="94"/>
      <c r="AI408" s="94"/>
      <c r="AJ408" s="94"/>
      <c r="AK408" s="94"/>
      <c r="AL408" s="94"/>
      <c r="AM408" s="94"/>
      <c r="AN408" s="94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</row>
    <row r="409" spans="15:73"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AN409" s="94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</row>
    <row r="410" spans="15:73"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  <c r="AC410" s="94"/>
      <c r="AD410" s="94"/>
      <c r="AE410" s="94"/>
      <c r="AF410" s="94"/>
      <c r="AG410" s="94"/>
      <c r="AH410" s="94"/>
      <c r="AI410" s="94"/>
      <c r="AJ410" s="94"/>
      <c r="AK410" s="94"/>
      <c r="AL410" s="94"/>
      <c r="AM410" s="94"/>
      <c r="AN410" s="94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</row>
    <row r="411" spans="15:73"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  <c r="AC411" s="94"/>
      <c r="AD411" s="94"/>
      <c r="AE411" s="94"/>
      <c r="AF411" s="94"/>
      <c r="AG411" s="94"/>
      <c r="AH411" s="94"/>
      <c r="AI411" s="94"/>
      <c r="AJ411" s="94"/>
      <c r="AK411" s="94"/>
      <c r="AL411" s="94"/>
      <c r="AM411" s="94"/>
      <c r="AN411" s="94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</row>
    <row r="412" spans="15:73"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AN412" s="94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</row>
    <row r="413" spans="15:73"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  <c r="AC413" s="94"/>
      <c r="AD413" s="94"/>
      <c r="AE413" s="94"/>
      <c r="AF413" s="94"/>
      <c r="AG413" s="94"/>
      <c r="AH413" s="94"/>
      <c r="AI413" s="94"/>
      <c r="AJ413" s="94"/>
      <c r="AK413" s="94"/>
      <c r="AL413" s="94"/>
      <c r="AM413" s="94"/>
      <c r="AN413" s="94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</row>
    <row r="414" spans="15:73"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  <c r="AC414" s="94"/>
      <c r="AD414" s="94"/>
      <c r="AE414" s="94"/>
      <c r="AF414" s="94"/>
      <c r="AG414" s="94"/>
      <c r="AH414" s="94"/>
      <c r="AI414" s="94"/>
      <c r="AJ414" s="94"/>
      <c r="AK414" s="94"/>
      <c r="AL414" s="94"/>
      <c r="AM414" s="94"/>
      <c r="AN414" s="94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</row>
    <row r="415" spans="15:73"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  <c r="AC415" s="94"/>
      <c r="AD415" s="94"/>
      <c r="AE415" s="94"/>
      <c r="AF415" s="94"/>
      <c r="AG415" s="94"/>
      <c r="AH415" s="94"/>
      <c r="AI415" s="94"/>
      <c r="AJ415" s="94"/>
      <c r="AK415" s="94"/>
      <c r="AL415" s="94"/>
      <c r="AM415" s="94"/>
      <c r="AN415" s="94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</row>
    <row r="416" spans="15:73"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AN416" s="94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</row>
    <row r="417" spans="15:73"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4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AN417" s="94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</row>
    <row r="418" spans="15:73"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4"/>
      <c r="AC418" s="94"/>
      <c r="AD418" s="94"/>
      <c r="AE418" s="94"/>
      <c r="AF418" s="94"/>
      <c r="AG418" s="94"/>
      <c r="AH418" s="94"/>
      <c r="AI418" s="94"/>
      <c r="AJ418" s="94"/>
      <c r="AK418" s="94"/>
      <c r="AL418" s="94"/>
      <c r="AM418" s="94"/>
      <c r="AN418" s="94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</row>
    <row r="419" spans="15:73"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4"/>
      <c r="AC419" s="94"/>
      <c r="AD419" s="94"/>
      <c r="AE419" s="94"/>
      <c r="AF419" s="94"/>
      <c r="AG419" s="94"/>
      <c r="AH419" s="94"/>
      <c r="AI419" s="94"/>
      <c r="AJ419" s="94"/>
      <c r="AK419" s="94"/>
      <c r="AL419" s="94"/>
      <c r="AM419" s="94"/>
      <c r="AN419" s="94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</row>
    <row r="420" spans="15:73"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4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AN420" s="94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</row>
    <row r="421" spans="15:73"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94"/>
      <c r="AL421" s="94"/>
      <c r="AM421" s="94"/>
      <c r="AN421" s="94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</row>
    <row r="422" spans="15:73"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  <c r="AK422" s="94"/>
      <c r="AL422" s="94"/>
      <c r="AM422" s="94"/>
      <c r="AN422" s="94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</row>
    <row r="423" spans="15:73"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  <c r="AK423" s="94"/>
      <c r="AL423" s="94"/>
      <c r="AM423" s="94"/>
      <c r="AN423" s="94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</row>
    <row r="424" spans="15:73"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  <c r="AK424" s="94"/>
      <c r="AL424" s="94"/>
      <c r="AM424" s="94"/>
      <c r="AN424" s="94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</row>
    <row r="425" spans="15:73"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/>
      <c r="AM425" s="94"/>
      <c r="AN425" s="94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</row>
    <row r="426" spans="15:73"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  <c r="AK426" s="94"/>
      <c r="AL426" s="94"/>
      <c r="AM426" s="94"/>
      <c r="AN426" s="94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</row>
    <row r="427" spans="15:73"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4"/>
      <c r="AC427" s="94"/>
      <c r="AD427" s="94"/>
      <c r="AE427" s="94"/>
      <c r="AF427" s="94"/>
      <c r="AG427" s="94"/>
      <c r="AH427" s="94"/>
      <c r="AI427" s="94"/>
      <c r="AJ427" s="94"/>
      <c r="AK427" s="94"/>
      <c r="AL427" s="94"/>
      <c r="AM427" s="94"/>
      <c r="AN427" s="94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</row>
    <row r="428" spans="15:73"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4"/>
      <c r="AC428" s="94"/>
      <c r="AD428" s="94"/>
      <c r="AE428" s="94"/>
      <c r="AF428" s="94"/>
      <c r="AG428" s="94"/>
      <c r="AH428" s="94"/>
      <c r="AI428" s="94"/>
      <c r="AJ428" s="94"/>
      <c r="AK428" s="94"/>
      <c r="AL428" s="94"/>
      <c r="AM428" s="94"/>
      <c r="AN428" s="94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</row>
    <row r="429" spans="15:73"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4"/>
      <c r="AC429" s="94"/>
      <c r="AD429" s="94"/>
      <c r="AE429" s="94"/>
      <c r="AF429" s="94"/>
      <c r="AG429" s="94"/>
      <c r="AH429" s="94"/>
      <c r="AI429" s="94"/>
      <c r="AJ429" s="94"/>
      <c r="AK429" s="94"/>
      <c r="AL429" s="94"/>
      <c r="AM429" s="94"/>
      <c r="AN429" s="94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</row>
    <row r="430" spans="15:73"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  <c r="AN430" s="94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</row>
    <row r="431" spans="15:73"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  <c r="AN431" s="94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</row>
    <row r="432" spans="15:73"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  <c r="AN432" s="94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</row>
    <row r="433" spans="15:73"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  <c r="AN433" s="94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</row>
    <row r="434" spans="15:73"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  <c r="AN434" s="94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</row>
    <row r="435" spans="15:73"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  <c r="AN435" s="94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</row>
    <row r="436" spans="15:73"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  <c r="AN436" s="94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</row>
    <row r="437" spans="15:73"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  <c r="AN437" s="94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</row>
    <row r="438" spans="15:73"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  <c r="AN438" s="94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</row>
    <row r="439" spans="15:73"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  <c r="AN439" s="94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</row>
    <row r="440" spans="15:73"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  <c r="AN440" s="94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</row>
    <row r="441" spans="15:73"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  <c r="AN441" s="94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</row>
    <row r="442" spans="15:73"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AN442" s="94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</row>
    <row r="443" spans="15:73"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  <c r="AN443" s="94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</row>
    <row r="444" spans="15:73"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  <c r="AN444" s="94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</row>
    <row r="445" spans="15:73"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  <c r="AN445" s="94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</row>
    <row r="446" spans="15:73"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  <c r="AN446" s="94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</row>
    <row r="447" spans="15:73"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  <c r="AN447" s="94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</row>
    <row r="448" spans="15:73"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  <c r="AN448" s="94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</row>
    <row r="449" spans="15:73"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  <c r="AN449" s="94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</row>
    <row r="450" spans="15:73"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  <c r="AN450" s="94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</row>
    <row r="451" spans="15:73"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  <c r="AN451" s="94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</row>
    <row r="452" spans="15:73"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  <c r="AN452" s="94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</row>
    <row r="453" spans="15:73"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AN453" s="94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</row>
    <row r="454" spans="15:73"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AN454" s="94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</row>
    <row r="455" spans="15:73"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AN455" s="94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</row>
    <row r="456" spans="15:73"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AN456" s="94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</row>
    <row r="457" spans="15:73"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AN457" s="94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</row>
    <row r="458" spans="15:73"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AN458" s="94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</row>
    <row r="459" spans="15:73"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AN459" s="94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</row>
    <row r="460" spans="15:73"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AN460" s="94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</row>
    <row r="461" spans="15:73"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AN461" s="94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</row>
    <row r="462" spans="15:73"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AN462" s="94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</row>
    <row r="463" spans="15:73"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AN463" s="94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</row>
    <row r="464" spans="15:73"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AN464" s="94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</row>
    <row r="465" spans="15:73"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AN465" s="94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</row>
    <row r="466" spans="15:73"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AN466" s="94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</row>
    <row r="467" spans="15:73"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AN467" s="94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</row>
    <row r="468" spans="15:73"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AN468" s="94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</row>
    <row r="469" spans="15:73"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</row>
    <row r="470" spans="15:73"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AN470" s="94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</row>
    <row r="471" spans="15:73"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</row>
    <row r="472" spans="15:73"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</row>
    <row r="473" spans="15:73"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</row>
    <row r="474" spans="15:73"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</row>
    <row r="475" spans="15:73"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</row>
    <row r="476" spans="15:73"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</row>
    <row r="477" spans="15:73"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</row>
    <row r="478" spans="15:73"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</row>
    <row r="479" spans="15:73"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</row>
    <row r="480" spans="15:73"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</row>
    <row r="481" spans="15:73"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</row>
    <row r="482" spans="15:73"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</row>
    <row r="483" spans="15:73"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</row>
    <row r="484" spans="15:73"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</row>
    <row r="485" spans="15:73"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</row>
    <row r="486" spans="15:73"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</row>
    <row r="487" spans="15:73"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</row>
    <row r="488" spans="15:73"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</row>
    <row r="489" spans="15:73"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</row>
    <row r="490" spans="15:73"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</row>
    <row r="491" spans="15:73"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</row>
    <row r="492" spans="15:73"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</row>
    <row r="493" spans="15:73"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</row>
    <row r="494" spans="15:73"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</row>
    <row r="495" spans="15:73"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</row>
    <row r="496" spans="15:73"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</row>
    <row r="497" spans="15:73"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</row>
    <row r="498" spans="15:73"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</row>
    <row r="499" spans="15:73"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</row>
    <row r="500" spans="15:73"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</row>
    <row r="501" spans="15:73"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</row>
    <row r="502" spans="15:73"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</row>
    <row r="503" spans="15:73"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</row>
    <row r="504" spans="15:73"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</row>
    <row r="505" spans="15:73"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</row>
    <row r="506" spans="15:73"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</row>
    <row r="507" spans="15:73"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</row>
    <row r="508" spans="15:73"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</row>
    <row r="509" spans="15:73"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</row>
    <row r="510" spans="15:73"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</row>
    <row r="511" spans="15:73"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</row>
    <row r="512" spans="15:73"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</row>
    <row r="513" spans="15:73"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</row>
    <row r="514" spans="15:73"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</row>
    <row r="515" spans="15:73"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  <c r="AN515" s="94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</row>
    <row r="516" spans="15:73"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  <c r="AN516" s="94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</row>
    <row r="517" spans="15:73"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  <c r="AN517" s="94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</row>
    <row r="518" spans="15:73"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  <c r="AN518" s="94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</row>
    <row r="519" spans="15:73"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  <c r="AC519" s="94"/>
      <c r="AD519" s="94"/>
      <c r="AE519" s="94"/>
      <c r="AF519" s="94"/>
      <c r="AG519" s="94"/>
      <c r="AH519" s="94"/>
      <c r="AI519" s="94"/>
      <c r="AJ519" s="94"/>
      <c r="AK519" s="94"/>
      <c r="AL519" s="94"/>
      <c r="AM519" s="94"/>
      <c r="AN519" s="94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</row>
    <row r="520" spans="15:73"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  <c r="AN520" s="94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</row>
    <row r="521" spans="15:73"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  <c r="AC521" s="94"/>
      <c r="AD521" s="94"/>
      <c r="AE521" s="94"/>
      <c r="AF521" s="94"/>
      <c r="AG521" s="94"/>
      <c r="AH521" s="94"/>
      <c r="AI521" s="94"/>
      <c r="AJ521" s="94"/>
      <c r="AK521" s="94"/>
      <c r="AL521" s="94"/>
      <c r="AM521" s="94"/>
      <c r="AN521" s="94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</row>
    <row r="522" spans="15:73"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  <c r="AN522" s="94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</row>
    <row r="523" spans="15:73"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  <c r="AC523" s="94"/>
      <c r="AD523" s="94"/>
      <c r="AE523" s="94"/>
      <c r="AF523" s="94"/>
      <c r="AG523" s="94"/>
      <c r="AH523" s="94"/>
      <c r="AI523" s="94"/>
      <c r="AJ523" s="94"/>
      <c r="AK523" s="94"/>
      <c r="AL523" s="94"/>
      <c r="AM523" s="94"/>
      <c r="AN523" s="94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</row>
    <row r="524" spans="15:73"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  <c r="AC524" s="94"/>
      <c r="AD524" s="94"/>
      <c r="AE524" s="94"/>
      <c r="AF524" s="94"/>
      <c r="AG524" s="94"/>
      <c r="AH524" s="94"/>
      <c r="AI524" s="94"/>
      <c r="AJ524" s="94"/>
      <c r="AK524" s="94"/>
      <c r="AL524" s="94"/>
      <c r="AM524" s="94"/>
      <c r="AN524" s="94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</row>
    <row r="525" spans="15:73"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  <c r="AC525" s="94"/>
      <c r="AD525" s="94"/>
      <c r="AE525" s="94"/>
      <c r="AF525" s="94"/>
      <c r="AG525" s="94"/>
      <c r="AH525" s="94"/>
      <c r="AI525" s="94"/>
      <c r="AJ525" s="94"/>
      <c r="AK525" s="94"/>
      <c r="AL525" s="94"/>
      <c r="AM525" s="94"/>
      <c r="AN525" s="94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</row>
    <row r="526" spans="15:73"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  <c r="AN526" s="94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</row>
    <row r="527" spans="15:73"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  <c r="AN527" s="94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</row>
    <row r="528" spans="15:73"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  <c r="AN528" s="94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</row>
    <row r="529" spans="15:73"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  <c r="AN529" s="94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</row>
    <row r="530" spans="15:73"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  <c r="AC530" s="94"/>
      <c r="AD530" s="94"/>
      <c r="AE530" s="94"/>
      <c r="AF530" s="94"/>
      <c r="AG530" s="94"/>
      <c r="AH530" s="94"/>
      <c r="AI530" s="94"/>
      <c r="AJ530" s="94"/>
      <c r="AK530" s="94"/>
      <c r="AL530" s="94"/>
      <c r="AM530" s="94"/>
      <c r="AN530" s="94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</row>
    <row r="531" spans="15:73"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  <c r="AC531" s="94"/>
      <c r="AD531" s="94"/>
      <c r="AE531" s="94"/>
      <c r="AF531" s="94"/>
      <c r="AG531" s="94"/>
      <c r="AH531" s="94"/>
      <c r="AI531" s="94"/>
      <c r="AJ531" s="94"/>
      <c r="AK531" s="94"/>
      <c r="AL531" s="94"/>
      <c r="AM531" s="94"/>
      <c r="AN531" s="94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</row>
    <row r="532" spans="15:73"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  <c r="AN532" s="94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</row>
    <row r="533" spans="15:73"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94"/>
      <c r="AK533" s="94"/>
      <c r="AL533" s="94"/>
      <c r="AM533" s="94"/>
      <c r="AN533" s="94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</row>
    <row r="534" spans="15:73"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94"/>
      <c r="AK534" s="94"/>
      <c r="AL534" s="94"/>
      <c r="AM534" s="94"/>
      <c r="AN534" s="94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</row>
    <row r="535" spans="15:73"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  <c r="AC535" s="94"/>
      <c r="AD535" s="94"/>
      <c r="AE535" s="94"/>
      <c r="AF535" s="94"/>
      <c r="AG535" s="94"/>
      <c r="AH535" s="94"/>
      <c r="AI535" s="94"/>
      <c r="AJ535" s="94"/>
      <c r="AK535" s="94"/>
      <c r="AL535" s="94"/>
      <c r="AM535" s="94"/>
      <c r="AN535" s="94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</row>
    <row r="536" spans="15:73"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  <c r="AC536" s="94"/>
      <c r="AD536" s="94"/>
      <c r="AE536" s="94"/>
      <c r="AF536" s="94"/>
      <c r="AG536" s="94"/>
      <c r="AH536" s="94"/>
      <c r="AI536" s="94"/>
      <c r="AJ536" s="94"/>
      <c r="AK536" s="94"/>
      <c r="AL536" s="94"/>
      <c r="AM536" s="94"/>
      <c r="AN536" s="94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</row>
    <row r="537" spans="15:73"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  <c r="AC537" s="94"/>
      <c r="AD537" s="94"/>
      <c r="AE537" s="94"/>
      <c r="AF537" s="94"/>
      <c r="AG537" s="94"/>
      <c r="AH537" s="94"/>
      <c r="AI537" s="94"/>
      <c r="AJ537" s="94"/>
      <c r="AK537" s="94"/>
      <c r="AL537" s="94"/>
      <c r="AM537" s="94"/>
      <c r="AN537" s="94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</row>
    <row r="538" spans="15:73"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  <c r="AC538" s="94"/>
      <c r="AD538" s="94"/>
      <c r="AE538" s="94"/>
      <c r="AF538" s="94"/>
      <c r="AG538" s="94"/>
      <c r="AH538" s="94"/>
      <c r="AI538" s="94"/>
      <c r="AJ538" s="94"/>
      <c r="AK538" s="94"/>
      <c r="AL538" s="94"/>
      <c r="AM538" s="94"/>
      <c r="AN538" s="94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</row>
    <row r="539" spans="15:73"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  <c r="AC539" s="94"/>
      <c r="AD539" s="94"/>
      <c r="AE539" s="94"/>
      <c r="AF539" s="94"/>
      <c r="AG539" s="94"/>
      <c r="AH539" s="94"/>
      <c r="AI539" s="94"/>
      <c r="AJ539" s="94"/>
      <c r="AK539" s="94"/>
      <c r="AL539" s="94"/>
      <c r="AM539" s="94"/>
      <c r="AN539" s="94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</row>
    <row r="540" spans="15:73"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  <c r="AC540" s="94"/>
      <c r="AD540" s="94"/>
      <c r="AE540" s="94"/>
      <c r="AF540" s="94"/>
      <c r="AG540" s="94"/>
      <c r="AH540" s="94"/>
      <c r="AI540" s="94"/>
      <c r="AJ540" s="94"/>
      <c r="AK540" s="94"/>
      <c r="AL540" s="94"/>
      <c r="AM540" s="94"/>
      <c r="AN540" s="94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</row>
    <row r="541" spans="15:73"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  <c r="AC541" s="94"/>
      <c r="AD541" s="94"/>
      <c r="AE541" s="94"/>
      <c r="AF541" s="94"/>
      <c r="AG541" s="94"/>
      <c r="AH541" s="94"/>
      <c r="AI541" s="94"/>
      <c r="AJ541" s="94"/>
      <c r="AK541" s="94"/>
      <c r="AL541" s="94"/>
      <c r="AM541" s="94"/>
      <c r="AN541" s="94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</row>
    <row r="542" spans="15:73"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  <c r="AC542" s="94"/>
      <c r="AD542" s="94"/>
      <c r="AE542" s="94"/>
      <c r="AF542" s="94"/>
      <c r="AG542" s="94"/>
      <c r="AH542" s="94"/>
      <c r="AI542" s="94"/>
      <c r="AJ542" s="94"/>
      <c r="AK542" s="94"/>
      <c r="AL542" s="94"/>
      <c r="AM542" s="94"/>
      <c r="AN542" s="94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</row>
    <row r="543" spans="15:73"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  <c r="AC543" s="94"/>
      <c r="AD543" s="94"/>
      <c r="AE543" s="94"/>
      <c r="AF543" s="94"/>
      <c r="AG543" s="94"/>
      <c r="AH543" s="94"/>
      <c r="AI543" s="94"/>
      <c r="AJ543" s="94"/>
      <c r="AK543" s="94"/>
      <c r="AL543" s="94"/>
      <c r="AM543" s="94"/>
      <c r="AN543" s="94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</row>
    <row r="544" spans="15:73"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  <c r="AC544" s="94"/>
      <c r="AD544" s="94"/>
      <c r="AE544" s="94"/>
      <c r="AF544" s="94"/>
      <c r="AG544" s="94"/>
      <c r="AH544" s="94"/>
      <c r="AI544" s="94"/>
      <c r="AJ544" s="94"/>
      <c r="AK544" s="94"/>
      <c r="AL544" s="94"/>
      <c r="AM544" s="94"/>
      <c r="AN544" s="94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</row>
    <row r="545" spans="15:73"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  <c r="AC545" s="94"/>
      <c r="AD545" s="94"/>
      <c r="AE545" s="94"/>
      <c r="AF545" s="94"/>
      <c r="AG545" s="94"/>
      <c r="AH545" s="94"/>
      <c r="AI545" s="94"/>
      <c r="AJ545" s="94"/>
      <c r="AK545" s="94"/>
      <c r="AL545" s="94"/>
      <c r="AM545" s="94"/>
      <c r="AN545" s="94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</row>
    <row r="546" spans="15:73"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  <c r="AC546" s="94"/>
      <c r="AD546" s="94"/>
      <c r="AE546" s="94"/>
      <c r="AF546" s="94"/>
      <c r="AG546" s="94"/>
      <c r="AH546" s="94"/>
      <c r="AI546" s="94"/>
      <c r="AJ546" s="94"/>
      <c r="AK546" s="94"/>
      <c r="AL546" s="94"/>
      <c r="AM546" s="94"/>
      <c r="AN546" s="94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</row>
    <row r="547" spans="15:73"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  <c r="AC547" s="94"/>
      <c r="AD547" s="94"/>
      <c r="AE547" s="94"/>
      <c r="AF547" s="94"/>
      <c r="AG547" s="94"/>
      <c r="AH547" s="94"/>
      <c r="AI547" s="94"/>
      <c r="AJ547" s="94"/>
      <c r="AK547" s="94"/>
      <c r="AL547" s="94"/>
      <c r="AM547" s="94"/>
      <c r="AN547" s="94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</row>
  </sheetData>
  <dataConsolidate link="1"/>
  <phoneticPr fontId="40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31"/>
  <sheetViews>
    <sheetView showGridLines="0" zoomScale="70" zoomScaleNormal="70" workbookViewId="0"/>
  </sheetViews>
  <sheetFormatPr defaultColWidth="9.109375" defaultRowHeight="13.2"/>
  <cols>
    <col min="1" max="1" width="16" customWidth="1"/>
    <col min="2" max="2" width="12.33203125" bestFit="1" customWidth="1"/>
    <col min="3" max="3" width="13.44140625" bestFit="1" customWidth="1"/>
    <col min="4" max="4" width="11.109375" bestFit="1" customWidth="1"/>
    <col min="5" max="5" width="13.44140625" bestFit="1" customWidth="1"/>
    <col min="6" max="6" width="1.6640625" customWidth="1"/>
    <col min="7" max="7" width="14.44140625" bestFit="1" customWidth="1"/>
    <col min="8" max="9" width="13.44140625" bestFit="1" customWidth="1"/>
    <col min="10" max="10" width="10.6640625" customWidth="1"/>
    <col min="11" max="11" width="13.5546875" customWidth="1"/>
    <col min="12" max="12" width="11.6640625" bestFit="1" customWidth="1"/>
  </cols>
  <sheetData>
    <row r="1" spans="1:12" ht="13.8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13.8">
      <c r="A2" s="15"/>
      <c r="B2" s="221" t="s">
        <v>56</v>
      </c>
      <c r="C2" s="221"/>
      <c r="D2" s="221"/>
      <c r="E2" s="221"/>
      <c r="F2" s="15"/>
      <c r="G2" s="221" t="s">
        <v>57</v>
      </c>
      <c r="H2" s="221"/>
      <c r="I2" s="221"/>
      <c r="J2" s="15"/>
    </row>
    <row r="3" spans="1:12" ht="13.8">
      <c r="A3" s="15" t="s">
        <v>17</v>
      </c>
      <c r="B3" s="17" t="s">
        <v>20</v>
      </c>
      <c r="C3" s="20"/>
      <c r="D3" s="20"/>
      <c r="E3" s="20"/>
      <c r="F3" s="20"/>
      <c r="G3" s="20"/>
      <c r="H3" s="20"/>
      <c r="I3" s="20"/>
      <c r="J3" s="17" t="s">
        <v>58</v>
      </c>
    </row>
    <row r="4" spans="1:12" ht="13.8">
      <c r="A4" s="21" t="s">
        <v>59</v>
      </c>
      <c r="B4" s="23" t="s">
        <v>60</v>
      </c>
      <c r="C4" s="23" t="s">
        <v>26</v>
      </c>
      <c r="D4" s="23" t="s">
        <v>27</v>
      </c>
      <c r="E4" s="25" t="s">
        <v>61</v>
      </c>
      <c r="F4" s="24"/>
      <c r="G4" s="23" t="s">
        <v>62</v>
      </c>
      <c r="H4" s="23" t="s">
        <v>63</v>
      </c>
      <c r="I4" s="23" t="s">
        <v>61</v>
      </c>
      <c r="J4" s="23" t="s">
        <v>64</v>
      </c>
    </row>
    <row r="5" spans="1:12" ht="14.4">
      <c r="A5" s="15"/>
      <c r="B5" s="222" t="s">
        <v>65</v>
      </c>
      <c r="C5" s="222"/>
      <c r="D5" s="222"/>
      <c r="E5" s="222"/>
      <c r="F5" s="222"/>
      <c r="G5" s="222"/>
      <c r="H5" s="222"/>
      <c r="I5" s="222"/>
      <c r="J5" s="222"/>
    </row>
    <row r="6" spans="1:12" ht="13.8">
      <c r="A6" s="15" t="s">
        <v>34</v>
      </c>
      <c r="B6" s="42">
        <v>340.786</v>
      </c>
      <c r="C6" s="43">
        <v>51814.455000000002</v>
      </c>
      <c r="D6" s="43">
        <v>654.51012091299992</v>
      </c>
      <c r="E6" s="32">
        <f>SUM(B6:D6)</f>
        <v>52809.751120913003</v>
      </c>
      <c r="F6" s="43"/>
      <c r="G6" s="43">
        <f>E6-H6-J6</f>
        <v>38958.712222688002</v>
      </c>
      <c r="H6" s="43">
        <v>13540.111898224999</v>
      </c>
      <c r="I6" s="43">
        <f>E6-J6</f>
        <v>52498.824120912999</v>
      </c>
      <c r="J6" s="43">
        <v>310.92700000000002</v>
      </c>
    </row>
    <row r="7" spans="1:12" ht="16.2">
      <c r="A7" s="15" t="s">
        <v>35</v>
      </c>
      <c r="B7" s="42">
        <f>J6</f>
        <v>310.92700000000002</v>
      </c>
      <c r="C7" s="43">
        <f>C23</f>
        <v>52493.097999999998</v>
      </c>
      <c r="D7" s="43">
        <f>D23</f>
        <v>632.09806422399993</v>
      </c>
      <c r="E7" s="32">
        <f>SUM(B7:D7)</f>
        <v>53436.123064224004</v>
      </c>
      <c r="F7" s="43" t="e">
        <f>#REF!</f>
        <v>#REF!</v>
      </c>
      <c r="G7" s="43">
        <f>E7-H7-J7</f>
        <v>38401.723957986855</v>
      </c>
      <c r="H7" s="43">
        <f>H23</f>
        <v>14663.508106237146</v>
      </c>
      <c r="I7" s="43">
        <f>E7-J7</f>
        <v>53065.232064224001</v>
      </c>
      <c r="J7" s="43">
        <f>J22</f>
        <v>370.89100000000002</v>
      </c>
      <c r="K7" s="181"/>
      <c r="L7" s="206"/>
    </row>
    <row r="8" spans="1:12" ht="16.2">
      <c r="A8" s="15" t="s">
        <v>36</v>
      </c>
      <c r="B8" s="42">
        <f>J7</f>
        <v>370.89100000000002</v>
      </c>
      <c r="C8" s="43">
        <v>54154</v>
      </c>
      <c r="D8" s="43">
        <v>600</v>
      </c>
      <c r="E8" s="32">
        <f>SUM(B8:D8)</f>
        <v>55124.891000000003</v>
      </c>
      <c r="F8" s="43"/>
      <c r="G8" s="43">
        <f t="shared" ref="G8" si="0">E8-H8-J8</f>
        <v>39424.891000000003</v>
      </c>
      <c r="H8" s="43">
        <v>15300</v>
      </c>
      <c r="I8" s="43">
        <f>E8-J8</f>
        <v>54724.891000000003</v>
      </c>
      <c r="J8" s="43">
        <v>400</v>
      </c>
      <c r="L8" s="207"/>
    </row>
    <row r="9" spans="1:12" ht="13.8">
      <c r="A9" s="15"/>
      <c r="B9" s="44"/>
      <c r="C9" s="44"/>
      <c r="D9" s="44"/>
      <c r="E9" s="44"/>
      <c r="F9" s="44"/>
      <c r="G9" s="43"/>
      <c r="H9" s="44"/>
      <c r="I9" s="44"/>
      <c r="J9" s="44"/>
    </row>
    <row r="10" spans="1:12" ht="13.8">
      <c r="A10" s="35" t="s">
        <v>52</v>
      </c>
      <c r="B10" s="45"/>
      <c r="C10" s="6"/>
      <c r="D10" s="6"/>
      <c r="E10" s="6"/>
      <c r="F10" s="6"/>
      <c r="G10" s="6"/>
      <c r="H10" s="6"/>
      <c r="I10" s="6"/>
      <c r="J10" s="6"/>
    </row>
    <row r="11" spans="1:12" ht="14.4">
      <c r="A11" s="15" t="s">
        <v>38</v>
      </c>
      <c r="B11" s="45">
        <f>J6</f>
        <v>310.92700000000002</v>
      </c>
      <c r="C11" s="6">
        <v>4603.3959999999997</v>
      </c>
      <c r="D11" s="6">
        <f>(52509.6*1.10231)/1000</f>
        <v>57.88185717599999</v>
      </c>
      <c r="E11" s="6">
        <f t="shared" ref="E11:E22" si="1">SUM(B11:D11)</f>
        <v>4972.2048571759997</v>
      </c>
      <c r="F11" s="6"/>
      <c r="G11" s="6">
        <f>I11-H11</f>
        <v>3639.9264505289998</v>
      </c>
      <c r="H11" s="6">
        <f>(865513.7*1.10231)/1000</f>
        <v>954.06440664699983</v>
      </c>
      <c r="I11" s="5">
        <f>E11-J11</f>
        <v>4593.9908571759997</v>
      </c>
      <c r="J11" s="6">
        <v>378.214</v>
      </c>
      <c r="K11" s="95"/>
      <c r="L11" s="97"/>
    </row>
    <row r="12" spans="1:12" ht="14.4">
      <c r="A12" s="15" t="s">
        <v>39</v>
      </c>
      <c r="B12" s="45">
        <f t="shared" ref="B12:B17" si="2">J11</f>
        <v>378.214</v>
      </c>
      <c r="C12" s="6">
        <v>4469.9660000000003</v>
      </c>
      <c r="D12" s="6">
        <f>(53341.5*1.10231)/1000</f>
        <v>58.798868864999996</v>
      </c>
      <c r="E12" s="6">
        <f t="shared" si="1"/>
        <v>4906.9788688650005</v>
      </c>
      <c r="F12" s="6"/>
      <c r="G12" s="6">
        <f t="shared" ref="G12:G19" si="3">I12-H12</f>
        <v>3367.700833154001</v>
      </c>
      <c r="H12" s="6">
        <f>(1079708.1*1.10231)/1000</f>
        <v>1190.173035711</v>
      </c>
      <c r="I12" s="5">
        <f t="shared" ref="I12:I22" si="4">E12-J12</f>
        <v>4557.873868865001</v>
      </c>
      <c r="J12" s="6">
        <v>349.10500000000002</v>
      </c>
      <c r="K12" s="95"/>
      <c r="L12" s="97"/>
    </row>
    <row r="13" spans="1:12" ht="14.4">
      <c r="A13" s="15" t="s">
        <v>41</v>
      </c>
      <c r="B13" s="45">
        <f t="shared" si="2"/>
        <v>349.10500000000002</v>
      </c>
      <c r="C13" s="6">
        <v>4437.4089999999997</v>
      </c>
      <c r="D13" s="6">
        <f>(32194.3*1.10231)/1000</f>
        <v>35.488098832999995</v>
      </c>
      <c r="E13" s="6">
        <f t="shared" si="1"/>
        <v>4822.0020988329989</v>
      </c>
      <c r="F13" s="6"/>
      <c r="G13" s="6">
        <f t="shared" si="3"/>
        <v>3173.9462998459985</v>
      </c>
      <c r="H13" s="6">
        <f>(1081527.7*1.10231)/1000</f>
        <v>1192.1787989869997</v>
      </c>
      <c r="I13" s="5">
        <f t="shared" si="4"/>
        <v>4366.1250988329984</v>
      </c>
      <c r="J13" s="6">
        <v>455.87700000000001</v>
      </c>
      <c r="K13" s="95"/>
      <c r="L13" s="97"/>
    </row>
    <row r="14" spans="1:12" ht="14.4">
      <c r="A14" s="15" t="s">
        <v>42</v>
      </c>
      <c r="B14" s="45">
        <f t="shared" si="2"/>
        <v>455.87700000000001</v>
      </c>
      <c r="C14" s="6">
        <v>4540.9090000000006</v>
      </c>
      <c r="D14" s="6">
        <f>(87357.8*1.10231)/1000</f>
        <v>96.295376517999983</v>
      </c>
      <c r="E14" s="6">
        <f t="shared" si="1"/>
        <v>5093.081376518001</v>
      </c>
      <c r="F14" s="6"/>
      <c r="G14" s="6">
        <f t="shared" si="3"/>
        <v>3101.8863894670012</v>
      </c>
      <c r="H14" s="6">
        <f>(1404622.1*1.10231)/1000</f>
        <v>1548.3289870509998</v>
      </c>
      <c r="I14" s="5">
        <f t="shared" si="4"/>
        <v>4650.215376518001</v>
      </c>
      <c r="J14" s="6">
        <v>442.86599999999999</v>
      </c>
      <c r="K14" s="95"/>
      <c r="L14" s="97"/>
    </row>
    <row r="15" spans="1:12" ht="14.4">
      <c r="A15" s="15" t="s">
        <v>43</v>
      </c>
      <c r="B15" s="45">
        <f t="shared" si="2"/>
        <v>442.86599999999999</v>
      </c>
      <c r="C15" s="6">
        <v>4197.5839999999998</v>
      </c>
      <c r="D15" s="6">
        <f>(40187.2*1.10231)/1000</f>
        <v>44.298752431999993</v>
      </c>
      <c r="E15" s="6">
        <f t="shared" si="1"/>
        <v>4684.7487524319995</v>
      </c>
      <c r="F15" s="6"/>
      <c r="G15" s="6">
        <f t="shared" si="3"/>
        <v>3189.261751647</v>
      </c>
      <c r="H15" s="6">
        <f>(925173.5*1.10231)/1000</f>
        <v>1019.828000785</v>
      </c>
      <c r="I15" s="5">
        <f t="shared" si="4"/>
        <v>4209.0897524319998</v>
      </c>
      <c r="J15" s="6">
        <v>475.65899999999999</v>
      </c>
      <c r="K15" s="95"/>
      <c r="L15" s="97"/>
    </row>
    <row r="16" spans="1:12" ht="14.4">
      <c r="A16" s="15" t="s">
        <v>45</v>
      </c>
      <c r="B16" s="45">
        <f t="shared" si="2"/>
        <v>475.65899999999999</v>
      </c>
      <c r="C16" s="6">
        <v>4698.1610000000001</v>
      </c>
      <c r="D16" s="6">
        <f>(43410.1*1.10231)/1000</f>
        <v>47.851387330999991</v>
      </c>
      <c r="E16" s="6">
        <f t="shared" si="1"/>
        <v>5221.671387331</v>
      </c>
      <c r="F16" s="6"/>
      <c r="G16" s="6">
        <f t="shared" si="3"/>
        <v>3369.7769356149997</v>
      </c>
      <c r="H16" s="6">
        <f>(1336143.6*1.10231)/1000</f>
        <v>1472.8444517160001</v>
      </c>
      <c r="I16" s="5">
        <f t="shared" si="4"/>
        <v>4842.6213873309998</v>
      </c>
      <c r="J16" s="6">
        <v>379.04999999999995</v>
      </c>
      <c r="K16" s="95"/>
      <c r="L16" s="97"/>
    </row>
    <row r="17" spans="1:12" ht="14.4">
      <c r="A17" s="15" t="s">
        <v>46</v>
      </c>
      <c r="B17" s="45">
        <f t="shared" si="2"/>
        <v>379.04999999999995</v>
      </c>
      <c r="C17" s="6">
        <v>4433.6350000000002</v>
      </c>
      <c r="D17" s="6">
        <f>(25951.8*1.10231)/1000</f>
        <v>28.606928657999998</v>
      </c>
      <c r="E17" s="6">
        <f t="shared" si="1"/>
        <v>4841.291928658</v>
      </c>
      <c r="F17" s="6"/>
      <c r="G17" s="6">
        <f t="shared" si="3"/>
        <v>3019.334526696</v>
      </c>
      <c r="H17" s="6">
        <f>(1128650.2*1.10231)/1000</f>
        <v>1244.1224019619999</v>
      </c>
      <c r="I17" s="5">
        <f t="shared" si="4"/>
        <v>4263.4569286579999</v>
      </c>
      <c r="J17" s="6">
        <v>577.83499999999992</v>
      </c>
      <c r="K17" s="95"/>
      <c r="L17" s="97"/>
    </row>
    <row r="18" spans="1:12" ht="14.4">
      <c r="A18" s="15" t="s">
        <v>47</v>
      </c>
      <c r="B18" s="45">
        <f>J17</f>
        <v>577.83499999999992</v>
      </c>
      <c r="C18" s="6">
        <v>4461.268</v>
      </c>
      <c r="D18" s="6">
        <f>(50047.9*1.10231)/1000</f>
        <v>55.168300648999995</v>
      </c>
      <c r="E18" s="6">
        <f t="shared" si="1"/>
        <v>5094.2713006490003</v>
      </c>
      <c r="F18" s="6"/>
      <c r="G18" s="6">
        <f t="shared" si="3"/>
        <v>3474.6210888970008</v>
      </c>
      <c r="H18" s="6">
        <f>(1080559.2*1.10231)/1000</f>
        <v>1191.1112117519997</v>
      </c>
      <c r="I18" s="5">
        <f t="shared" si="4"/>
        <v>4665.7323006490005</v>
      </c>
      <c r="J18" s="6">
        <v>428.53899999999999</v>
      </c>
      <c r="K18" s="95"/>
      <c r="L18" s="97"/>
    </row>
    <row r="19" spans="1:12" ht="14.4">
      <c r="A19" s="15" t="s">
        <v>49</v>
      </c>
      <c r="B19" s="45">
        <f>J18</f>
        <v>428.53899999999999</v>
      </c>
      <c r="C19" s="6">
        <v>4152.3280000000004</v>
      </c>
      <c r="D19" s="6">
        <f>(47135.7*1.10231)/1000</f>
        <v>51.958153466999988</v>
      </c>
      <c r="E19" s="6">
        <f t="shared" si="1"/>
        <v>4632.8251534669998</v>
      </c>
      <c r="F19" s="6"/>
      <c r="G19" s="6">
        <f t="shared" si="3"/>
        <v>2878.4011494959996</v>
      </c>
      <c r="H19" s="6">
        <f>(1259954.1*1.10231)/1000</f>
        <v>1388.860003971</v>
      </c>
      <c r="I19" s="5">
        <f>E19-J19</f>
        <v>4267.2611534669995</v>
      </c>
      <c r="J19" s="6">
        <v>365.56400000000002</v>
      </c>
      <c r="K19" s="95"/>
    </row>
    <row r="20" spans="1:12" ht="14.4">
      <c r="A20" s="15" t="s">
        <v>50</v>
      </c>
      <c r="B20" s="45">
        <f>J19</f>
        <v>365.56400000000002</v>
      </c>
      <c r="C20" s="6">
        <v>4362.93</v>
      </c>
      <c r="D20" s="6">
        <f>(44990.2*1.10231)/1000</f>
        <v>49.593147361999989</v>
      </c>
      <c r="E20" s="6">
        <f t="shared" si="1"/>
        <v>4778.0871473620009</v>
      </c>
      <c r="F20" s="6"/>
      <c r="G20" s="6">
        <f>I20-H20</f>
        <v>3114.3274682730016</v>
      </c>
      <c r="H20" s="6">
        <f>(1083371.9*1.10231)/1000</f>
        <v>1194.2116790889997</v>
      </c>
      <c r="I20" s="5">
        <f t="shared" si="4"/>
        <v>4308.5391473620011</v>
      </c>
      <c r="J20" s="6">
        <v>469.548</v>
      </c>
      <c r="K20" s="95"/>
    </row>
    <row r="21" spans="1:12" ht="14.4">
      <c r="A21" s="15" t="s">
        <v>51</v>
      </c>
      <c r="B21" s="45">
        <f>J20</f>
        <v>469.548</v>
      </c>
      <c r="C21" s="6">
        <v>4029.8919999999998</v>
      </c>
      <c r="D21" s="6">
        <f>(49385.1*1.10231)/1000</f>
        <v>54.437689580999994</v>
      </c>
      <c r="E21" s="6">
        <f t="shared" si="1"/>
        <v>4553.8776895809997</v>
      </c>
      <c r="F21" s="6"/>
      <c r="G21" s="6">
        <f t="shared" ref="G21:G22" si="5">I21-H21</f>
        <v>3059.2082030979991</v>
      </c>
      <c r="H21" s="6">
        <f>(1068509.3*1.10231)/1000</f>
        <v>1177.828486483</v>
      </c>
      <c r="I21" s="5">
        <f t="shared" si="4"/>
        <v>4237.0366895809993</v>
      </c>
      <c r="J21" s="6">
        <v>316.84100000000001</v>
      </c>
      <c r="K21" s="95"/>
    </row>
    <row r="22" spans="1:12" ht="14.4">
      <c r="A22" s="15" t="s">
        <v>37</v>
      </c>
      <c r="B22" s="45">
        <f>J21</f>
        <v>316.84100000000001</v>
      </c>
      <c r="C22" s="6">
        <v>4105.62</v>
      </c>
      <c r="D22" s="6">
        <f>(46919.3*1.10231)/1000</f>
        <v>51.719613582999997</v>
      </c>
      <c r="E22" s="6">
        <f t="shared" si="1"/>
        <v>4474.1806135830002</v>
      </c>
      <c r="F22" s="6"/>
      <c r="G22" s="6">
        <f t="shared" si="5"/>
        <v>3013.3502875580007</v>
      </c>
      <c r="H22" s="6">
        <f>(988777.5*1.10231)/1000</f>
        <v>1089.9393260249999</v>
      </c>
      <c r="I22" s="5">
        <f t="shared" si="4"/>
        <v>4103.2896135830006</v>
      </c>
      <c r="J22" s="6">
        <v>370.89100000000002</v>
      </c>
      <c r="K22" s="100"/>
    </row>
    <row r="23" spans="1:12" ht="14.4">
      <c r="A23" s="15" t="s">
        <v>28</v>
      </c>
      <c r="B23" s="45"/>
      <c r="C23" s="6">
        <f>SUM(C11:C22)</f>
        <v>52493.097999999998</v>
      </c>
      <c r="D23" s="6">
        <f>(573430.4*1.10231)/1000</f>
        <v>632.09806422399993</v>
      </c>
      <c r="E23" s="6">
        <f>B11+C23+D23</f>
        <v>53436.123064224004</v>
      </c>
      <c r="F23" s="6"/>
      <c r="G23" s="6">
        <f>SUM(G11:G22)</f>
        <v>38401.741384276</v>
      </c>
      <c r="H23" s="6">
        <f>(13302510.8*1.10231131)/1000</f>
        <v>14663.508106237146</v>
      </c>
      <c r="I23" s="5">
        <f>SUM(I11:I22)</f>
        <v>53065.232174455006</v>
      </c>
      <c r="J23" s="6"/>
      <c r="K23" s="95"/>
    </row>
    <row r="24" spans="1:12" ht="14.4">
      <c r="A24" s="15"/>
      <c r="B24" s="45"/>
      <c r="C24" s="6"/>
      <c r="D24" s="6"/>
      <c r="E24" s="6"/>
      <c r="F24" s="6"/>
      <c r="G24" s="6"/>
      <c r="H24" s="6"/>
      <c r="I24" s="6"/>
      <c r="J24" s="6"/>
      <c r="K24" s="95"/>
    </row>
    <row r="25" spans="1:12" ht="14.4">
      <c r="A25" s="35" t="s">
        <v>156</v>
      </c>
      <c r="B25" s="45"/>
      <c r="C25" s="6"/>
      <c r="D25" s="6"/>
      <c r="E25" s="6"/>
      <c r="F25" s="6"/>
      <c r="G25" s="6"/>
      <c r="H25" s="6"/>
      <c r="I25" s="6"/>
      <c r="J25" s="6"/>
      <c r="K25" s="95"/>
    </row>
    <row r="26" spans="1:12" ht="14.4">
      <c r="A26" s="14" t="s">
        <v>38</v>
      </c>
      <c r="B26" s="145">
        <f>J22</f>
        <v>370.89100000000002</v>
      </c>
      <c r="C26" s="146">
        <v>4738.4830000000002</v>
      </c>
      <c r="D26" s="143">
        <f>(43328.6*1.10231)/1000</f>
        <v>47.761549065999994</v>
      </c>
      <c r="E26" s="143">
        <f t="shared" ref="E26" si="6">SUM(B26:D26)</f>
        <v>5157.1355490659998</v>
      </c>
      <c r="F26" s="143"/>
      <c r="G26" s="143">
        <f t="shared" ref="G26" si="7">I26-H26</f>
        <v>3508.2654674079995</v>
      </c>
      <c r="H26" s="143">
        <f>(1192251.8*1.10231)/1000</f>
        <v>1314.231081658</v>
      </c>
      <c r="I26" s="142">
        <f t="shared" ref="I26" si="8">E26-J26</f>
        <v>4822.4965490659997</v>
      </c>
      <c r="J26" s="146">
        <v>334.63900000000001</v>
      </c>
      <c r="K26" s="95"/>
    </row>
    <row r="27" spans="1:12" ht="16.2">
      <c r="A27" s="46" t="s">
        <v>66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2" ht="14.4">
      <c r="A28" s="15" t="s">
        <v>67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12" ht="13.8">
      <c r="A29" s="20" t="s">
        <v>55</v>
      </c>
      <c r="B29" s="41">
        <f>Contents!A16</f>
        <v>45272</v>
      </c>
      <c r="C29" s="38"/>
      <c r="D29" s="33"/>
      <c r="E29" s="33"/>
      <c r="F29" s="33"/>
      <c r="G29" s="33"/>
      <c r="H29" s="33"/>
      <c r="I29" s="33"/>
      <c r="J29" s="33"/>
    </row>
    <row r="30" spans="1:12">
      <c r="B30" s="47"/>
      <c r="C30" s="48"/>
      <c r="D30" s="47"/>
      <c r="E30" s="92"/>
      <c r="F30" s="47"/>
      <c r="G30" s="47"/>
      <c r="H30" s="49"/>
      <c r="I30" s="92"/>
      <c r="J30" s="47"/>
    </row>
    <row r="31" spans="1:12">
      <c r="B31" s="47"/>
      <c r="C31" s="47"/>
      <c r="D31" s="47"/>
      <c r="E31" s="47"/>
      <c r="F31" s="47"/>
      <c r="G31" s="47"/>
      <c r="H31" s="47"/>
      <c r="I31" s="47"/>
      <c r="J31" s="47"/>
    </row>
  </sheetData>
  <mergeCells count="3">
    <mergeCell ref="G2:I2"/>
    <mergeCell ref="B5:J5"/>
    <mergeCell ref="B2:E2"/>
  </mergeCells>
  <phoneticPr fontId="40" type="noConversion"/>
  <pageMargins left="0.75" right="0.75" top="1" bottom="1" header="0.5" footer="0.5"/>
  <pageSetup scale="8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1"/>
  <sheetViews>
    <sheetView showGridLines="0" zoomScale="70" zoomScaleNormal="70" workbookViewId="0"/>
  </sheetViews>
  <sheetFormatPr defaultColWidth="9.109375" defaultRowHeight="13.2"/>
  <cols>
    <col min="1" max="1" width="15.44140625" customWidth="1"/>
    <col min="2" max="2" width="12.33203125" bestFit="1" customWidth="1"/>
    <col min="3" max="3" width="12.109375" bestFit="1" customWidth="1"/>
    <col min="4" max="4" width="11" bestFit="1" customWidth="1"/>
    <col min="5" max="5" width="12.33203125" customWidth="1"/>
    <col min="6" max="6" width="3.6640625" customWidth="1"/>
    <col min="7" max="7" width="11.5546875" bestFit="1" customWidth="1"/>
    <col min="8" max="8" width="12.33203125" customWidth="1"/>
    <col min="9" max="9" width="12.6640625" customWidth="1"/>
    <col min="10" max="10" width="9.6640625" bestFit="1" customWidth="1"/>
    <col min="11" max="11" width="11.5546875" bestFit="1" customWidth="1"/>
    <col min="12" max="12" width="12.5546875" bestFit="1" customWidth="1"/>
    <col min="14" max="14" width="11.109375" customWidth="1"/>
  </cols>
  <sheetData>
    <row r="1" spans="1:14" ht="13.8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 ht="13.8">
      <c r="A2" s="15"/>
      <c r="B2" s="221" t="s">
        <v>56</v>
      </c>
      <c r="C2" s="221"/>
      <c r="D2" s="221"/>
      <c r="E2" s="221"/>
      <c r="F2" s="15"/>
      <c r="G2" s="221" t="s">
        <v>57</v>
      </c>
      <c r="H2" s="221"/>
      <c r="I2" s="221"/>
      <c r="J2" s="123"/>
      <c r="K2" s="123"/>
      <c r="L2" s="15"/>
    </row>
    <row r="3" spans="1:14" ht="13.8">
      <c r="A3" s="15" t="s">
        <v>17</v>
      </c>
      <c r="B3" s="17" t="s">
        <v>68</v>
      </c>
      <c r="C3" s="17" t="s">
        <v>26</v>
      </c>
      <c r="D3" s="17" t="s">
        <v>69</v>
      </c>
      <c r="E3" s="17" t="s">
        <v>61</v>
      </c>
      <c r="F3" s="17"/>
      <c r="G3" s="123" t="s">
        <v>62</v>
      </c>
      <c r="H3" s="123"/>
      <c r="I3" s="123"/>
      <c r="J3" s="17" t="s">
        <v>70</v>
      </c>
      <c r="K3" s="17" t="s">
        <v>61</v>
      </c>
      <c r="L3" s="17" t="s">
        <v>58</v>
      </c>
    </row>
    <row r="4" spans="1:14" ht="16.2">
      <c r="A4" s="21" t="s">
        <v>59</v>
      </c>
      <c r="B4" s="23" t="s">
        <v>60</v>
      </c>
      <c r="C4" s="24"/>
      <c r="D4" s="24"/>
      <c r="E4" s="24"/>
      <c r="F4" s="24"/>
      <c r="G4" s="23" t="s">
        <v>28</v>
      </c>
      <c r="H4" s="23" t="s">
        <v>71</v>
      </c>
      <c r="I4" s="23" t="s">
        <v>72</v>
      </c>
      <c r="J4" s="24"/>
      <c r="K4" s="24"/>
      <c r="L4" s="17" t="s">
        <v>64</v>
      </c>
    </row>
    <row r="5" spans="1:14" ht="14.4">
      <c r="A5" s="15"/>
      <c r="B5" s="223" t="s">
        <v>73</v>
      </c>
      <c r="C5" s="223"/>
      <c r="D5" s="224"/>
      <c r="E5" s="223"/>
      <c r="F5" s="223"/>
      <c r="G5" s="223"/>
      <c r="H5" s="223"/>
      <c r="I5" s="223"/>
      <c r="J5" s="223"/>
      <c r="K5" s="223"/>
      <c r="L5" s="223"/>
    </row>
    <row r="6" spans="1:14" ht="16.2">
      <c r="A6" s="15" t="s">
        <v>74</v>
      </c>
      <c r="B6" s="44">
        <v>2131.2330000000002</v>
      </c>
      <c r="C6" s="44">
        <v>26155.172999999999</v>
      </c>
      <c r="D6" s="218">
        <f>(137422.8*2204.622)/1000000</f>
        <v>302.9653281816</v>
      </c>
      <c r="E6" s="44">
        <f>SUM(B6:D6)</f>
        <v>28589.371328181598</v>
      </c>
      <c r="F6" s="44"/>
      <c r="G6" s="44">
        <f>E6-L6-J6</f>
        <v>24827.303827433996</v>
      </c>
      <c r="H6" s="44">
        <v>10378.75</v>
      </c>
      <c r="I6" s="32">
        <f>G6-H6</f>
        <v>14448.553827433996</v>
      </c>
      <c r="J6" s="32">
        <f>(803275.8*2204.622)/1000000</f>
        <v>1770.9195007476001</v>
      </c>
      <c r="K6" s="44">
        <f>G6+J6</f>
        <v>26598.223328181597</v>
      </c>
      <c r="L6" s="44">
        <v>1991.1479999999999</v>
      </c>
    </row>
    <row r="7" spans="1:14" ht="16.2">
      <c r="A7" s="15" t="s">
        <v>75</v>
      </c>
      <c r="B7" s="44">
        <f>L6</f>
        <v>1991.1479999999999</v>
      </c>
      <c r="C7" s="44">
        <f>C23</f>
        <v>26227.309000000001</v>
      </c>
      <c r="D7" s="44">
        <f>D23</f>
        <v>375.69933535679996</v>
      </c>
      <c r="E7" s="44">
        <f>E23</f>
        <v>28594.156335356802</v>
      </c>
      <c r="F7" s="44"/>
      <c r="G7" s="44">
        <f>K7-J7</f>
        <v>26613.846401643801</v>
      </c>
      <c r="H7" s="44">
        <f>H23</f>
        <v>12490.714000000002</v>
      </c>
      <c r="I7" s="32">
        <f>G7-H7</f>
        <v>14123.132401643799</v>
      </c>
      <c r="J7" s="44">
        <f>J23</f>
        <v>378.07393371299997</v>
      </c>
      <c r="K7" s="44">
        <f>E7-L7</f>
        <v>26991.920335356801</v>
      </c>
      <c r="L7" s="44">
        <f>L22</f>
        <v>1602.2360000000001</v>
      </c>
    </row>
    <row r="8" spans="1:14" ht="16.2">
      <c r="A8" s="15" t="s">
        <v>36</v>
      </c>
      <c r="B8" s="44">
        <f>L7</f>
        <v>1602.2360000000001</v>
      </c>
      <c r="C8" s="44">
        <v>27025</v>
      </c>
      <c r="D8" s="44">
        <v>400</v>
      </c>
      <c r="E8" s="44">
        <f>SUM(B8:D8)</f>
        <v>29027.236000000001</v>
      </c>
      <c r="F8" s="44"/>
      <c r="G8" s="44">
        <f>SUM(H8:I8)</f>
        <v>27100</v>
      </c>
      <c r="H8" s="44">
        <v>12800</v>
      </c>
      <c r="I8" s="32">
        <v>14300</v>
      </c>
      <c r="J8" s="44">
        <v>350</v>
      </c>
      <c r="K8" s="44">
        <f>G8+J8</f>
        <v>27450</v>
      </c>
      <c r="L8" s="44">
        <f>E8-K8</f>
        <v>1577.2360000000008</v>
      </c>
    </row>
    <row r="9" spans="1:14" ht="13.8">
      <c r="A9" s="15"/>
      <c r="B9" s="44"/>
      <c r="C9" s="44"/>
      <c r="D9" s="44"/>
      <c r="E9" s="44"/>
      <c r="F9" s="44"/>
      <c r="G9" s="44"/>
      <c r="H9" s="44"/>
      <c r="I9" s="89"/>
      <c r="J9" s="44"/>
      <c r="K9" s="44"/>
      <c r="L9" s="44"/>
    </row>
    <row r="10" spans="1:14" ht="13.8">
      <c r="A10" s="35" t="s">
        <v>52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14" ht="13.8">
      <c r="A11" s="15" t="s">
        <v>38</v>
      </c>
      <c r="B11" s="5">
        <f>L6</f>
        <v>1991.1479999999999</v>
      </c>
      <c r="C11" s="6">
        <v>2338.085</v>
      </c>
      <c r="D11" s="6">
        <f>(13491.4*2204.622)/1000000</f>
        <v>29.7434372508</v>
      </c>
      <c r="E11" s="6">
        <f t="shared" ref="E11:E18" si="0">SUM(B11:D11)</f>
        <v>4358.9764372507998</v>
      </c>
      <c r="F11" s="5"/>
      <c r="G11" s="5">
        <f t="shared" ref="G11:G18" si="1">K11-J11</f>
        <v>2241.8177746275996</v>
      </c>
      <c r="H11" s="220">
        <v>906.40899999999999</v>
      </c>
      <c r="I11" s="6">
        <f t="shared" ref="I11:I17" si="2">G11-H11</f>
        <v>1335.4087746275995</v>
      </c>
      <c r="J11" s="6">
        <f>(10675.6*2204.622)/1000000</f>
        <v>23.5356626232</v>
      </c>
      <c r="K11" s="6">
        <f t="shared" ref="K11:K17" si="3">E11-L11</f>
        <v>2265.3534372507997</v>
      </c>
      <c r="L11" s="5">
        <v>2093.623</v>
      </c>
      <c r="N11" s="97"/>
    </row>
    <row r="12" spans="1:14" ht="13.8">
      <c r="A12" s="15" t="s">
        <v>39</v>
      </c>
      <c r="B12" s="5">
        <f t="shared" ref="B12:B18" si="4">L11</f>
        <v>2093.623</v>
      </c>
      <c r="C12" s="6">
        <v>2199.962</v>
      </c>
      <c r="D12" s="6">
        <f>(11744.6*2204.622)/1000000</f>
        <v>25.8924035412</v>
      </c>
      <c r="E12" s="6">
        <f t="shared" si="0"/>
        <v>4319.4774035412001</v>
      </c>
      <c r="F12" s="5"/>
      <c r="G12" s="5">
        <f t="shared" si="1"/>
        <v>2183.7493667224003</v>
      </c>
      <c r="H12" s="220">
        <v>943.34199999999998</v>
      </c>
      <c r="I12" s="6">
        <f t="shared" si="2"/>
        <v>1240.4073667224002</v>
      </c>
      <c r="J12" s="6">
        <f>(10635.4*2204.622)/1000000</f>
        <v>23.447036818799997</v>
      </c>
      <c r="K12" s="6">
        <f t="shared" si="3"/>
        <v>2207.1964035412002</v>
      </c>
      <c r="L12" s="5">
        <v>2112.2809999999999</v>
      </c>
      <c r="N12" s="97"/>
    </row>
    <row r="13" spans="1:14" ht="13.8">
      <c r="A13" s="15" t="s">
        <v>41</v>
      </c>
      <c r="B13" s="5">
        <f t="shared" si="4"/>
        <v>2112.2809999999999</v>
      </c>
      <c r="C13" s="6">
        <v>2195.3580000000002</v>
      </c>
      <c r="D13" s="6">
        <f>(10252.4*2204.622)/1000000</f>
        <v>22.602666592799999</v>
      </c>
      <c r="E13" s="6">
        <f t="shared" si="0"/>
        <v>4330.2416665928004</v>
      </c>
      <c r="F13" s="5"/>
      <c r="G13" s="5">
        <f t="shared" si="1"/>
        <v>1989.2481907986005</v>
      </c>
      <c r="H13" s="220">
        <v>885.65899999999999</v>
      </c>
      <c r="I13" s="6">
        <f t="shared" si="2"/>
        <v>1103.5891907986006</v>
      </c>
      <c r="J13" s="6">
        <f>(15806.1*2204.622)/1000000</f>
        <v>34.846475794199996</v>
      </c>
      <c r="K13" s="6">
        <f t="shared" si="3"/>
        <v>2024.0946665928004</v>
      </c>
      <c r="L13" s="5">
        <v>2306.1469999999999</v>
      </c>
      <c r="N13" s="97"/>
    </row>
    <row r="14" spans="1:14" ht="13.8">
      <c r="A14" s="15" t="s">
        <v>42</v>
      </c>
      <c r="B14" s="5">
        <f t="shared" si="4"/>
        <v>2306.1469999999999</v>
      </c>
      <c r="C14" s="6">
        <v>2252.3119999999999</v>
      </c>
      <c r="D14" s="6">
        <f>(11450.2*2204.622)/1000000</f>
        <v>25.243362824400002</v>
      </c>
      <c r="E14" s="6">
        <f t="shared" si="0"/>
        <v>4583.7023628243996</v>
      </c>
      <c r="F14" s="5"/>
      <c r="G14" s="5">
        <f t="shared" si="1"/>
        <v>2211.8930392041998</v>
      </c>
      <c r="H14" s="220">
        <v>940.87400000000002</v>
      </c>
      <c r="I14" s="6">
        <f t="shared" si="2"/>
        <v>1271.0190392041998</v>
      </c>
      <c r="J14" s="6">
        <f>(6989.1*2204.622)/1000000</f>
        <v>15.408323620199999</v>
      </c>
      <c r="K14" s="6">
        <f t="shared" si="3"/>
        <v>2227.3013628243998</v>
      </c>
      <c r="L14" s="5">
        <v>2356.4009999999998</v>
      </c>
      <c r="N14" s="97"/>
    </row>
    <row r="15" spans="1:14" ht="13.8">
      <c r="A15" s="15" t="s">
        <v>43</v>
      </c>
      <c r="B15" s="5">
        <f t="shared" si="4"/>
        <v>2356.4009999999998</v>
      </c>
      <c r="C15" s="6">
        <v>2091.2179999999998</v>
      </c>
      <c r="D15" s="6">
        <f>(15213.2*2204.622)/1000000</f>
        <v>33.539355410399999</v>
      </c>
      <c r="E15" s="6">
        <f t="shared" si="0"/>
        <v>4481.1583554104</v>
      </c>
      <c r="F15" s="5"/>
      <c r="G15" s="5">
        <f t="shared" si="1"/>
        <v>2091.4034745958002</v>
      </c>
      <c r="H15" s="220">
        <v>909.98699999999997</v>
      </c>
      <c r="I15" s="6">
        <f t="shared" si="2"/>
        <v>1181.4164745958001</v>
      </c>
      <c r="J15" s="6">
        <f>(11774.3*2204.622)/1000000</f>
        <v>25.957880814599999</v>
      </c>
      <c r="K15" s="6">
        <f t="shared" si="3"/>
        <v>2117.3613554103999</v>
      </c>
      <c r="L15" s="5">
        <v>2363.797</v>
      </c>
      <c r="N15" s="97"/>
    </row>
    <row r="16" spans="1:14" ht="13.8">
      <c r="A16" s="15" t="s">
        <v>45</v>
      </c>
      <c r="B16" s="5">
        <f t="shared" si="4"/>
        <v>2363.797</v>
      </c>
      <c r="C16" s="6">
        <v>2339.5810000000001</v>
      </c>
      <c r="D16" s="6">
        <f>(15180.8*2204.622)/1000000</f>
        <v>33.467925657599999</v>
      </c>
      <c r="E16" s="6">
        <f t="shared" si="0"/>
        <v>4736.8459256576007</v>
      </c>
      <c r="F16" s="5"/>
      <c r="G16" s="5">
        <f t="shared" si="1"/>
        <v>2336.5298038548008</v>
      </c>
      <c r="H16" s="220">
        <v>952.70299999999997</v>
      </c>
      <c r="I16" s="6">
        <f t="shared" si="2"/>
        <v>1383.8268038548008</v>
      </c>
      <c r="J16" s="6">
        <f>(5807.4*2204.622)/1000000</f>
        <v>12.803121802799998</v>
      </c>
      <c r="K16" s="6">
        <f t="shared" si="3"/>
        <v>2349.3329256576008</v>
      </c>
      <c r="L16" s="5">
        <v>2387.5129999999999</v>
      </c>
      <c r="N16" s="97"/>
    </row>
    <row r="17" spans="1:14" ht="13.8">
      <c r="A17" s="15" t="s">
        <v>46</v>
      </c>
      <c r="B17" s="5">
        <f t="shared" si="4"/>
        <v>2387.5129999999999</v>
      </c>
      <c r="C17" s="6">
        <v>2236.3009999999999</v>
      </c>
      <c r="D17" s="6">
        <f>(15750.7*2204.622)/1000000</f>
        <v>34.724339735400001</v>
      </c>
      <c r="E17" s="6">
        <f t="shared" si="0"/>
        <v>4658.5383397353999</v>
      </c>
      <c r="F17" s="5"/>
      <c r="G17" s="5">
        <f t="shared" si="1"/>
        <v>2058.2364235171999</v>
      </c>
      <c r="H17" s="220">
        <v>926.59799999999996</v>
      </c>
      <c r="I17" s="6">
        <f t="shared" si="2"/>
        <v>1131.6384235172</v>
      </c>
      <c r="J17" s="6">
        <f>(27498.1*2204.622)/1000000</f>
        <v>60.62291621819999</v>
      </c>
      <c r="K17" s="6">
        <f t="shared" si="3"/>
        <v>2118.8593397353998</v>
      </c>
      <c r="L17" s="5">
        <v>2539.6790000000001</v>
      </c>
      <c r="N17" s="97"/>
    </row>
    <row r="18" spans="1:14" ht="13.8">
      <c r="A18" s="15" t="s">
        <v>47</v>
      </c>
      <c r="B18" s="5">
        <f t="shared" si="4"/>
        <v>2539.6790000000001</v>
      </c>
      <c r="C18" s="6">
        <v>2228.3719999999998</v>
      </c>
      <c r="D18" s="6">
        <f>(24574.7*2204.622)/1000000</f>
        <v>54.177924263399994</v>
      </c>
      <c r="E18" s="6">
        <f t="shared" si="0"/>
        <v>4822.2289242633997</v>
      </c>
      <c r="F18" s="5"/>
      <c r="G18" s="5">
        <f t="shared" si="1"/>
        <v>2385.7924694315993</v>
      </c>
      <c r="H18" s="220">
        <v>1140.8710000000001</v>
      </c>
      <c r="I18" s="6">
        <f t="shared" ref="I18:I23" si="5">G18-H18</f>
        <v>1244.9214694315992</v>
      </c>
      <c r="J18" s="6">
        <f>(22776.9*2204.622)/1000000</f>
        <v>50.214454831799998</v>
      </c>
      <c r="K18" s="6">
        <f>E18-L18</f>
        <v>2436.0069242633995</v>
      </c>
      <c r="L18" s="5">
        <v>2386.2220000000002</v>
      </c>
      <c r="N18" s="97"/>
    </row>
    <row r="19" spans="1:14" ht="13.8">
      <c r="A19" s="15" t="s">
        <v>49</v>
      </c>
      <c r="B19" s="5">
        <f>L18</f>
        <v>2386.2220000000002</v>
      </c>
      <c r="C19" s="6">
        <v>2074.857</v>
      </c>
      <c r="D19" s="6">
        <f>(7900.8*2204.622)/1000000</f>
        <v>17.418277497600002</v>
      </c>
      <c r="E19" s="6">
        <f>SUM(B19:D19)</f>
        <v>4478.4972774975995</v>
      </c>
      <c r="F19" s="5"/>
      <c r="G19" s="5">
        <f>K19-J19</f>
        <v>2235.5639103903995</v>
      </c>
      <c r="H19" s="220">
        <v>1206.92</v>
      </c>
      <c r="I19" s="6">
        <f t="shared" si="5"/>
        <v>1028.6439103903995</v>
      </c>
      <c r="J19" s="6">
        <f>(18097.6*2204.622)/1000000</f>
        <v>39.898367107199995</v>
      </c>
      <c r="K19" s="6">
        <f>E19-L19</f>
        <v>2275.4622774975996</v>
      </c>
      <c r="L19" s="5">
        <v>2203.0349999999999</v>
      </c>
    </row>
    <row r="20" spans="1:14" ht="13.8">
      <c r="A20" s="15" t="s">
        <v>50</v>
      </c>
      <c r="B20" s="5">
        <f>L19</f>
        <v>2203.0349999999999</v>
      </c>
      <c r="C20" s="6">
        <v>2180.0360000000001</v>
      </c>
      <c r="D20" s="6">
        <f>(12459.1*2204.622)/1000000</f>
        <v>27.4676059602</v>
      </c>
      <c r="E20" s="6">
        <f>SUM(B20:D20)</f>
        <v>4410.5386059601997</v>
      </c>
      <c r="F20" s="5"/>
      <c r="G20" s="5">
        <f>K20-J20</f>
        <v>2237.1172955073994</v>
      </c>
      <c r="H20" s="220">
        <v>1272.7660000000001</v>
      </c>
      <c r="I20" s="119">
        <f t="shared" si="5"/>
        <v>964.3512955073993</v>
      </c>
      <c r="J20" s="6">
        <f>(16882.4*2204.622)/1000000</f>
        <v>37.219310452799995</v>
      </c>
      <c r="K20" s="6">
        <f>E20-L20</f>
        <v>2274.3366059601994</v>
      </c>
      <c r="L20" s="5">
        <v>2136.2020000000002</v>
      </c>
    </row>
    <row r="21" spans="1:14" ht="13.8">
      <c r="A21" s="15" t="s">
        <v>51</v>
      </c>
      <c r="B21" s="5">
        <f>L20</f>
        <v>2136.2020000000002</v>
      </c>
      <c r="C21" s="121">
        <v>2014.153</v>
      </c>
      <c r="D21" s="6">
        <f>(21101.4*2204.622)/1000000</f>
        <v>46.520610670800004</v>
      </c>
      <c r="E21" s="6">
        <f>SUM(B21:D21)</f>
        <v>4196.8756106708006</v>
      </c>
      <c r="F21" s="5"/>
      <c r="G21" s="5">
        <f>K21-J21</f>
        <v>2398.3625488780008</v>
      </c>
      <c r="H21" s="220">
        <v>1197.1020000000001</v>
      </c>
      <c r="I21" s="125">
        <f t="shared" si="5"/>
        <v>1201.2605488780007</v>
      </c>
      <c r="J21" s="6">
        <f>(11852.4*2204.622)/1000000</f>
        <v>26.130061792799999</v>
      </c>
      <c r="K21" s="6">
        <f>E21-L21</f>
        <v>2424.4926106708008</v>
      </c>
      <c r="L21" s="5">
        <v>1772.383</v>
      </c>
    </row>
    <row r="22" spans="1:14" ht="13.8">
      <c r="A22" s="15" t="s">
        <v>37</v>
      </c>
      <c r="B22" s="5">
        <f>L21</f>
        <v>1772.383</v>
      </c>
      <c r="C22" s="121">
        <v>2077.0740000000001</v>
      </c>
      <c r="D22" s="6">
        <f>(11295.1*2204.622)/1000000</f>
        <v>24.9014259522</v>
      </c>
      <c r="E22" s="6">
        <f>SUM(B22:D22)</f>
        <v>3874.3584259522004</v>
      </c>
      <c r="F22" s="5"/>
      <c r="G22" s="5">
        <f>K22-J22</f>
        <v>2244.1323245780004</v>
      </c>
      <c r="H22" s="220">
        <v>1207.4829999999999</v>
      </c>
      <c r="I22" s="125">
        <f t="shared" si="5"/>
        <v>1036.6493245780005</v>
      </c>
      <c r="J22" s="6">
        <f>(12696.1*2204.622)/1000000</f>
        <v>27.990101374199998</v>
      </c>
      <c r="K22" s="6">
        <f>E22-L22</f>
        <v>2272.1224259522005</v>
      </c>
      <c r="L22" s="5">
        <v>1602.2360000000001</v>
      </c>
    </row>
    <row r="23" spans="1:14" ht="13.8">
      <c r="A23" s="15" t="s">
        <v>28</v>
      </c>
      <c r="B23" s="5"/>
      <c r="C23" s="121">
        <f>SUM(C11:C22)</f>
        <v>26227.309000000001</v>
      </c>
      <c r="D23" s="6">
        <f>(170414.4*2204.622)/1000000</f>
        <v>375.69933535679996</v>
      </c>
      <c r="E23" s="6">
        <f>B11+C23+D23</f>
        <v>28594.156335356802</v>
      </c>
      <c r="F23" s="5"/>
      <c r="G23" s="5">
        <f>SUM(G11:G22)</f>
        <v>26613.846622106001</v>
      </c>
      <c r="H23" s="220">
        <f>SUM(H11:H22)</f>
        <v>12490.714000000002</v>
      </c>
      <c r="I23" s="125">
        <f t="shared" si="5"/>
        <v>14123.132622105999</v>
      </c>
      <c r="J23" s="6">
        <f>(171491.5*2204.622)/1000000</f>
        <v>378.07393371299997</v>
      </c>
      <c r="K23" s="6">
        <f>SUM(K11:K22)</f>
        <v>26991.920335356801</v>
      </c>
      <c r="L23" s="5"/>
    </row>
    <row r="24" spans="1:14" ht="13.8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</row>
    <row r="25" spans="1:14" ht="13.8">
      <c r="A25" s="35" t="s">
        <v>156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</row>
    <row r="26" spans="1:14" ht="13.8">
      <c r="A26" s="14" t="s">
        <v>38</v>
      </c>
      <c r="B26" s="142">
        <f>L22</f>
        <v>1602.2360000000001</v>
      </c>
      <c r="C26" s="143">
        <v>2375.654</v>
      </c>
      <c r="D26" s="143">
        <f>(20587.1*2204.622)/1000000</f>
        <v>45.386773576199992</v>
      </c>
      <c r="E26" s="143">
        <f t="shared" ref="E26" si="6">SUM(B26:D26)</f>
        <v>4023.2767735762004</v>
      </c>
      <c r="F26" s="142"/>
      <c r="G26" s="142">
        <f>K26-J26</f>
        <v>2503.6785816766005</v>
      </c>
      <c r="H26" s="208" t="s">
        <v>76</v>
      </c>
      <c r="I26" s="143" t="s">
        <v>76</v>
      </c>
      <c r="J26" s="143">
        <f>(5891.8*2204.622)/1000000</f>
        <v>12.9891918996</v>
      </c>
      <c r="K26" s="143">
        <f>E26-L26</f>
        <v>2516.6677735762005</v>
      </c>
      <c r="L26" s="144">
        <v>1506.6089999999999</v>
      </c>
    </row>
    <row r="27" spans="1:14" ht="16.2">
      <c r="A27" s="46" t="s">
        <v>77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4" ht="14.4">
      <c r="A28" s="15" t="s">
        <v>67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4" ht="13.8">
      <c r="A29" s="20" t="s">
        <v>55</v>
      </c>
      <c r="B29" s="41">
        <f>Contents!A16</f>
        <v>45272</v>
      </c>
      <c r="K29" s="39"/>
    </row>
    <row r="30" spans="1:14">
      <c r="E30" s="39"/>
    </row>
    <row r="31" spans="1:14">
      <c r="H31" s="109"/>
    </row>
  </sheetData>
  <mergeCells count="3">
    <mergeCell ref="B5:L5"/>
    <mergeCell ref="G2:I2"/>
    <mergeCell ref="B2:E2"/>
  </mergeCells>
  <phoneticPr fontId="40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54"/>
  <sheetViews>
    <sheetView showGridLines="0" zoomScale="70" zoomScaleNormal="70" workbookViewId="0"/>
  </sheetViews>
  <sheetFormatPr defaultColWidth="9.109375" defaultRowHeight="13.2"/>
  <cols>
    <col min="1" max="1" width="15.33203125" customWidth="1"/>
    <col min="2" max="2" width="13.109375" customWidth="1"/>
    <col min="3" max="3" width="12.109375" customWidth="1"/>
    <col min="4" max="4" width="13.44140625" customWidth="1"/>
    <col min="5" max="5" width="15.33203125" customWidth="1"/>
    <col min="6" max="6" width="11.44140625" customWidth="1"/>
    <col min="7" max="7" width="11.6640625" customWidth="1"/>
    <col min="8" max="8" width="14" customWidth="1"/>
    <col min="9" max="9" width="9.6640625" customWidth="1"/>
    <col min="10" max="11" width="7.6640625" customWidth="1"/>
    <col min="12" max="12" width="8.5546875" customWidth="1"/>
    <col min="13" max="13" width="9.5546875" customWidth="1"/>
    <col min="14" max="14" width="9.6640625" bestFit="1" customWidth="1"/>
    <col min="15" max="15" width="8.33203125" bestFit="1" customWidth="1"/>
    <col min="19" max="19" width="17.44140625" bestFit="1" customWidth="1"/>
    <col min="21" max="21" width="28.33203125" bestFit="1" customWidth="1"/>
  </cols>
  <sheetData>
    <row r="1" spans="1:15" ht="13.8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3.8">
      <c r="A2" s="15"/>
      <c r="B2" s="221" t="s">
        <v>56</v>
      </c>
      <c r="C2" s="221"/>
      <c r="D2" s="221"/>
      <c r="E2" s="221"/>
      <c r="F2" s="77"/>
      <c r="G2" s="221" t="s">
        <v>57</v>
      </c>
      <c r="H2" s="221"/>
      <c r="I2" s="221"/>
      <c r="J2" s="221"/>
      <c r="K2" s="77"/>
      <c r="L2" s="15"/>
      <c r="M2" s="15"/>
      <c r="N2" s="15"/>
      <c r="O2" s="15"/>
    </row>
    <row r="3" spans="1:15" ht="13.8">
      <c r="A3" s="15" t="s">
        <v>17</v>
      </c>
      <c r="B3" s="20" t="s">
        <v>68</v>
      </c>
      <c r="C3" s="20"/>
      <c r="D3" s="20"/>
      <c r="E3" s="20"/>
      <c r="F3" s="20"/>
      <c r="G3" s="20"/>
      <c r="H3" s="20"/>
      <c r="I3" s="20"/>
      <c r="J3" s="20"/>
      <c r="K3" s="17" t="s">
        <v>58</v>
      </c>
      <c r="L3" s="15"/>
      <c r="M3" s="15"/>
      <c r="N3" s="15"/>
      <c r="O3" s="15"/>
    </row>
    <row r="4" spans="1:15" ht="13.8">
      <c r="A4" s="21" t="s">
        <v>78</v>
      </c>
      <c r="B4" s="23" t="s">
        <v>79</v>
      </c>
      <c r="C4" s="62" t="s">
        <v>26</v>
      </c>
      <c r="D4" s="25" t="s">
        <v>69</v>
      </c>
      <c r="E4" s="23" t="s">
        <v>80</v>
      </c>
      <c r="F4" s="24"/>
      <c r="G4" s="23" t="s">
        <v>81</v>
      </c>
      <c r="H4" s="23" t="s">
        <v>30</v>
      </c>
      <c r="I4" s="23" t="s">
        <v>82</v>
      </c>
      <c r="J4" s="23" t="s">
        <v>83</v>
      </c>
      <c r="K4" s="23" t="s">
        <v>60</v>
      </c>
      <c r="L4" s="15"/>
      <c r="M4" s="15"/>
      <c r="N4" s="15"/>
      <c r="O4" s="15"/>
    </row>
    <row r="5" spans="1:15" ht="14.4">
      <c r="A5" s="15"/>
      <c r="B5" s="227" t="s">
        <v>84</v>
      </c>
      <c r="C5" s="227"/>
      <c r="D5" s="227"/>
      <c r="E5" s="227"/>
      <c r="F5" s="227"/>
      <c r="G5" s="227"/>
      <c r="H5" s="227"/>
      <c r="I5" s="227"/>
      <c r="J5" s="227"/>
      <c r="K5" s="227"/>
      <c r="L5" s="15"/>
      <c r="M5" s="15"/>
      <c r="N5" s="15"/>
      <c r="O5" s="15"/>
    </row>
    <row r="6" spans="1:15" ht="13.8">
      <c r="A6" s="15" t="s">
        <v>34</v>
      </c>
      <c r="B6" s="79">
        <v>395.43068871102241</v>
      </c>
      <c r="C6" s="79">
        <v>5323</v>
      </c>
      <c r="D6" s="80">
        <v>24.765738432900992</v>
      </c>
      <c r="E6" s="79">
        <f>B6+C6+D6</f>
        <v>5743.1964271439238</v>
      </c>
      <c r="F6" s="81"/>
      <c r="G6" s="79">
        <v>1556.9839999999999</v>
      </c>
      <c r="H6" s="82">
        <v>292.99103926406997</v>
      </c>
      <c r="I6" s="79">
        <f>J6-G6-H6</f>
        <v>3497.8</v>
      </c>
      <c r="J6" s="79">
        <f>E6-K6</f>
        <v>5347.7750392640701</v>
      </c>
      <c r="K6" s="79">
        <v>395.42138787985368</v>
      </c>
      <c r="L6" s="15"/>
      <c r="M6" s="15"/>
      <c r="N6" s="108"/>
      <c r="O6" s="15"/>
    </row>
    <row r="7" spans="1:15" ht="16.2">
      <c r="A7" s="15" t="s">
        <v>35</v>
      </c>
      <c r="B7" s="79">
        <f>K6</f>
        <v>395.42138787985368</v>
      </c>
      <c r="C7" s="79">
        <v>4415</v>
      </c>
      <c r="D7" s="80">
        <v>101.14</v>
      </c>
      <c r="E7" s="79">
        <f>B7+C7+D7</f>
        <v>4911.561387879854</v>
      </c>
      <c r="F7" s="81"/>
      <c r="G7" s="79">
        <v>1389.82</v>
      </c>
      <c r="H7" s="82">
        <v>185.60618629762095</v>
      </c>
      <c r="I7" s="79">
        <f>J7-G7-H7</f>
        <v>2951.0001815292258</v>
      </c>
      <c r="J7" s="79">
        <f>E7-K7</f>
        <v>4526.4263678268462</v>
      </c>
      <c r="K7" s="141">
        <v>385.13502005300779</v>
      </c>
      <c r="L7" s="15"/>
      <c r="M7" s="15"/>
      <c r="N7" s="108"/>
      <c r="O7" s="15"/>
    </row>
    <row r="8" spans="1:15" ht="16.2">
      <c r="A8" s="14" t="s">
        <v>36</v>
      </c>
      <c r="B8" s="209">
        <f>K7</f>
        <v>385.13502005300779</v>
      </c>
      <c r="C8" s="209">
        <v>3890</v>
      </c>
      <c r="D8" s="210">
        <v>50</v>
      </c>
      <c r="E8" s="209">
        <f>B8+C8+D8</f>
        <v>4325.1350200530078</v>
      </c>
      <c r="F8" s="211"/>
      <c r="G8" s="209">
        <v>1350</v>
      </c>
      <c r="H8" s="212">
        <v>225</v>
      </c>
      <c r="I8" s="209">
        <v>2405</v>
      </c>
      <c r="J8" s="209">
        <f>SUM(G8:I8)</f>
        <v>3980</v>
      </c>
      <c r="K8" s="209">
        <f>E8-J8</f>
        <v>345.13502005300779</v>
      </c>
      <c r="L8" s="15"/>
      <c r="M8" s="15"/>
      <c r="N8" s="15"/>
      <c r="O8" s="15"/>
    </row>
    <row r="9" spans="1:15" ht="16.2">
      <c r="A9" s="46" t="s">
        <v>85</v>
      </c>
      <c r="B9" s="15"/>
      <c r="C9" s="78"/>
      <c r="D9" s="78"/>
      <c r="E9" s="78"/>
      <c r="F9" s="78"/>
      <c r="G9" s="83"/>
      <c r="H9" s="78"/>
      <c r="I9" s="78"/>
      <c r="J9" s="78"/>
      <c r="K9" s="15"/>
      <c r="L9" s="15"/>
      <c r="M9" s="15"/>
      <c r="N9" s="15"/>
      <c r="O9" s="15"/>
    </row>
    <row r="10" spans="1:15" ht="14.4">
      <c r="A10" s="15" t="s">
        <v>86</v>
      </c>
      <c r="B10" s="33"/>
      <c r="C10" s="38"/>
      <c r="D10" s="15"/>
      <c r="E10" s="33"/>
      <c r="F10" s="33"/>
      <c r="G10" s="33"/>
      <c r="H10" s="33"/>
      <c r="I10" s="33"/>
      <c r="J10" s="33"/>
      <c r="K10" s="15"/>
      <c r="L10" s="15"/>
      <c r="M10" s="15"/>
      <c r="N10" s="15"/>
      <c r="O10" s="15"/>
    </row>
    <row r="11" spans="1:15" ht="14.4">
      <c r="A11" s="15" t="s">
        <v>87</v>
      </c>
      <c r="B11" s="33"/>
      <c r="C11" s="38"/>
      <c r="D11" s="15"/>
      <c r="E11" s="33"/>
      <c r="F11" s="33"/>
      <c r="G11" s="33"/>
      <c r="H11" s="33"/>
      <c r="I11" s="33"/>
      <c r="J11" s="33"/>
      <c r="K11" s="15"/>
      <c r="L11" s="15"/>
      <c r="M11" s="15"/>
      <c r="N11" s="15"/>
      <c r="O11" s="15"/>
    </row>
    <row r="12" spans="1:15" ht="13.8">
      <c r="A12" s="15"/>
      <c r="B12" s="33"/>
      <c r="C12" s="38"/>
      <c r="D12" s="15"/>
      <c r="E12" s="33"/>
      <c r="F12" s="33"/>
      <c r="G12" s="33"/>
      <c r="H12" s="33"/>
      <c r="I12" s="33"/>
      <c r="J12" s="33"/>
      <c r="K12" s="15"/>
      <c r="L12" s="15"/>
      <c r="M12" s="15"/>
      <c r="N12" s="15"/>
      <c r="O12" s="15"/>
    </row>
    <row r="13" spans="1:15" ht="13.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3.8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3.8">
      <c r="A15" s="15"/>
      <c r="B15" s="221" t="s">
        <v>56</v>
      </c>
      <c r="C15" s="221"/>
      <c r="D15" s="221"/>
      <c r="E15" s="221"/>
      <c r="F15" s="15"/>
      <c r="G15" s="221" t="s">
        <v>57</v>
      </c>
      <c r="H15" s="221"/>
      <c r="I15" s="221"/>
      <c r="J15" s="15"/>
      <c r="K15" s="15"/>
      <c r="L15" s="15"/>
      <c r="M15" s="15"/>
      <c r="N15" s="15"/>
      <c r="O15" s="15"/>
    </row>
    <row r="16" spans="1:15" ht="13.8">
      <c r="A16" s="15" t="s">
        <v>17</v>
      </c>
      <c r="B16" s="17" t="s">
        <v>68</v>
      </c>
      <c r="C16" s="20"/>
      <c r="D16" s="20"/>
      <c r="E16" s="20"/>
      <c r="F16" s="20"/>
      <c r="G16" s="20"/>
      <c r="H16" s="20"/>
      <c r="I16" s="20"/>
      <c r="J16" s="17" t="s">
        <v>58</v>
      </c>
      <c r="K16" s="15"/>
      <c r="L16" s="15"/>
      <c r="M16" s="15"/>
      <c r="N16" s="15"/>
      <c r="O16" s="15"/>
    </row>
    <row r="17" spans="1:15" ht="13.8">
      <c r="A17" s="21" t="s">
        <v>59</v>
      </c>
      <c r="B17" s="23" t="s">
        <v>60</v>
      </c>
      <c r="C17" s="62" t="s">
        <v>26</v>
      </c>
      <c r="D17" s="25" t="s">
        <v>69</v>
      </c>
      <c r="E17" s="23" t="s">
        <v>83</v>
      </c>
      <c r="F17" s="24"/>
      <c r="G17" s="79" t="s">
        <v>88</v>
      </c>
      <c r="H17" s="23" t="s">
        <v>30</v>
      </c>
      <c r="I17" s="25" t="s">
        <v>61</v>
      </c>
      <c r="J17" s="23" t="s">
        <v>60</v>
      </c>
      <c r="K17" s="15"/>
      <c r="L17" s="15"/>
      <c r="M17" s="15"/>
      <c r="N17" s="15"/>
      <c r="O17" s="15"/>
    </row>
    <row r="18" spans="1:15" ht="14.4">
      <c r="A18" s="15"/>
      <c r="B18" s="227" t="s">
        <v>89</v>
      </c>
      <c r="C18" s="227"/>
      <c r="D18" s="227"/>
      <c r="E18" s="227"/>
      <c r="F18" s="227"/>
      <c r="G18" s="227"/>
      <c r="H18" s="227"/>
      <c r="I18" s="227"/>
      <c r="J18" s="227"/>
      <c r="K18" s="15"/>
      <c r="L18" s="15"/>
      <c r="M18" s="15"/>
      <c r="N18" s="15"/>
      <c r="O18" s="15"/>
    </row>
    <row r="19" spans="1:15" ht="13.8">
      <c r="A19" s="15" t="s">
        <v>34</v>
      </c>
      <c r="B19" s="79">
        <v>39.305999999999997</v>
      </c>
      <c r="C19" s="82">
        <v>695</v>
      </c>
      <c r="D19" s="101">
        <v>0.10141264051999997</v>
      </c>
      <c r="E19" s="82">
        <f>B19+C19+D19</f>
        <v>734.40741264052008</v>
      </c>
      <c r="F19" s="81"/>
      <c r="G19" s="82">
        <f>E19-J19-H19</f>
        <v>655.27531148258311</v>
      </c>
      <c r="H19" s="82">
        <v>56.816101157936991</v>
      </c>
      <c r="I19" s="82">
        <f>SUM(G19:H19)</f>
        <v>712.09141264052005</v>
      </c>
      <c r="J19" s="79">
        <v>22.315999999999999</v>
      </c>
      <c r="K19" s="15"/>
      <c r="L19" s="15"/>
      <c r="M19" s="15"/>
      <c r="N19" s="15"/>
      <c r="O19" s="15"/>
    </row>
    <row r="20" spans="1:15" ht="16.2">
      <c r="A20" s="15" t="s">
        <v>35</v>
      </c>
      <c r="B20" s="79">
        <f>J19</f>
        <v>22.315999999999999</v>
      </c>
      <c r="C20" s="82">
        <v>590</v>
      </c>
      <c r="D20" s="80">
        <v>0</v>
      </c>
      <c r="E20" s="82">
        <f>B20+C20+D20</f>
        <v>612.31600000000003</v>
      </c>
      <c r="F20" s="81"/>
      <c r="G20" s="82">
        <f>E20-J20-H20</f>
        <v>526.02636987119706</v>
      </c>
      <c r="H20" s="82">
        <v>53.033630128802983</v>
      </c>
      <c r="I20" s="82">
        <f>SUM(G20:H20)</f>
        <v>579.06000000000006</v>
      </c>
      <c r="J20" s="79">
        <v>33.256</v>
      </c>
      <c r="K20" s="15"/>
      <c r="L20" s="15"/>
      <c r="M20" s="15"/>
      <c r="N20" s="15"/>
      <c r="O20" s="15"/>
    </row>
    <row r="21" spans="1:15" ht="16.2">
      <c r="A21" s="14" t="s">
        <v>36</v>
      </c>
      <c r="B21" s="209">
        <f>J20</f>
        <v>33.256</v>
      </c>
      <c r="C21" s="212">
        <v>595</v>
      </c>
      <c r="D21" s="210">
        <v>0</v>
      </c>
      <c r="E21" s="212">
        <f>B21+C21+D21</f>
        <v>628.25599999999997</v>
      </c>
      <c r="F21" s="211"/>
      <c r="G21" s="212">
        <v>533</v>
      </c>
      <c r="H21" s="212">
        <v>60</v>
      </c>
      <c r="I21" s="212">
        <f>SUM(G21:H21)</f>
        <v>593</v>
      </c>
      <c r="J21" s="209">
        <f>E21-I21</f>
        <v>35.255999999999972</v>
      </c>
      <c r="K21" s="15"/>
      <c r="L21" s="15"/>
      <c r="M21" s="15"/>
      <c r="N21" s="15"/>
      <c r="O21" s="15"/>
    </row>
    <row r="22" spans="1:15" ht="16.2">
      <c r="A22" s="46" t="s">
        <v>85</v>
      </c>
      <c r="B22" s="15"/>
      <c r="C22" s="78"/>
      <c r="D22" s="78"/>
      <c r="E22" s="78"/>
      <c r="F22" s="78"/>
      <c r="G22" s="78"/>
      <c r="H22" s="78"/>
      <c r="I22" s="15"/>
      <c r="J22" s="15"/>
      <c r="K22" s="15"/>
      <c r="L22" s="15"/>
      <c r="M22" s="15"/>
      <c r="N22" s="15"/>
      <c r="O22" s="15"/>
    </row>
    <row r="23" spans="1:15" ht="14.4">
      <c r="A23" s="15" t="s">
        <v>90</v>
      </c>
      <c r="B23" s="81"/>
      <c r="C23" s="81"/>
      <c r="D23" s="81"/>
      <c r="E23" s="81"/>
      <c r="F23" s="81"/>
      <c r="G23" s="81"/>
      <c r="H23" s="81"/>
      <c r="I23" s="15"/>
      <c r="J23" s="15"/>
      <c r="K23" s="15"/>
      <c r="L23" s="15"/>
      <c r="M23" s="15"/>
      <c r="N23" s="15"/>
      <c r="O23" s="15"/>
    </row>
    <row r="24" spans="1:15" ht="13.8">
      <c r="A24" s="15"/>
      <c r="B24" s="33"/>
      <c r="C24" s="33"/>
      <c r="D24" s="33"/>
      <c r="E24" s="33"/>
      <c r="F24" s="33"/>
      <c r="G24" s="33"/>
      <c r="H24" s="33"/>
      <c r="I24" s="15"/>
      <c r="J24" s="15"/>
      <c r="K24" s="15"/>
      <c r="L24" s="15"/>
      <c r="M24" s="15"/>
      <c r="N24" s="15"/>
      <c r="O24" s="15"/>
    </row>
    <row r="25" spans="1:15" ht="13.8">
      <c r="A25" s="15"/>
      <c r="B25" s="33"/>
      <c r="C25" s="38"/>
      <c r="D25" s="33"/>
      <c r="E25" s="33"/>
      <c r="F25" s="33"/>
      <c r="G25" s="33"/>
      <c r="H25" s="33"/>
      <c r="I25" s="15"/>
      <c r="J25" s="15"/>
      <c r="K25" s="15"/>
      <c r="L25" s="15"/>
      <c r="M25" s="15"/>
      <c r="N25" s="15"/>
      <c r="O25" s="15"/>
    </row>
    <row r="26" spans="1:15" ht="13.8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3.8">
      <c r="A27" s="15"/>
      <c r="B27" s="221" t="s">
        <v>56</v>
      </c>
      <c r="C27" s="221"/>
      <c r="D27" s="221"/>
      <c r="E27" s="221"/>
      <c r="F27" s="15"/>
      <c r="G27" s="221" t="s">
        <v>57</v>
      </c>
      <c r="H27" s="221"/>
      <c r="I27" s="221"/>
      <c r="J27" s="15"/>
      <c r="K27" s="15"/>
      <c r="L27" s="15"/>
      <c r="M27" s="15"/>
      <c r="N27" s="15"/>
      <c r="O27" s="15"/>
    </row>
    <row r="28" spans="1:15" ht="13.8">
      <c r="A28" s="15" t="s">
        <v>17</v>
      </c>
      <c r="B28" s="17" t="s">
        <v>68</v>
      </c>
      <c r="C28" s="20"/>
      <c r="D28" s="20"/>
      <c r="E28" s="20"/>
      <c r="F28" s="20"/>
      <c r="G28" s="20"/>
      <c r="H28" s="20"/>
      <c r="I28" s="20"/>
      <c r="J28" s="17" t="s">
        <v>58</v>
      </c>
      <c r="K28" s="15"/>
      <c r="L28" s="15"/>
      <c r="M28" s="15"/>
      <c r="N28" s="15"/>
      <c r="O28" s="15"/>
    </row>
    <row r="29" spans="1:15" ht="13.8">
      <c r="A29" s="21" t="s">
        <v>59</v>
      </c>
      <c r="B29" s="23" t="s">
        <v>60</v>
      </c>
      <c r="C29" s="23" t="s">
        <v>26</v>
      </c>
      <c r="D29" s="25" t="s">
        <v>69</v>
      </c>
      <c r="E29" s="23" t="s">
        <v>83</v>
      </c>
      <c r="F29" s="24"/>
      <c r="G29" s="23" t="s">
        <v>62</v>
      </c>
      <c r="H29" s="23" t="s">
        <v>30</v>
      </c>
      <c r="I29" s="23" t="s">
        <v>61</v>
      </c>
      <c r="J29" s="23" t="s">
        <v>64</v>
      </c>
      <c r="K29" s="15"/>
      <c r="L29" s="15"/>
      <c r="M29" s="15"/>
      <c r="N29" s="15"/>
      <c r="O29" s="15"/>
    </row>
    <row r="30" spans="1:15" ht="14.4">
      <c r="A30" s="15"/>
      <c r="B30" s="227" t="s">
        <v>73</v>
      </c>
      <c r="C30" s="227"/>
      <c r="D30" s="227"/>
      <c r="E30" s="227"/>
      <c r="F30" s="227"/>
      <c r="G30" s="227"/>
      <c r="H30" s="227"/>
      <c r="I30" s="227"/>
      <c r="J30" s="227"/>
      <c r="K30" s="15"/>
      <c r="L30" s="15"/>
      <c r="M30" s="15"/>
      <c r="N30" s="15"/>
      <c r="O30" s="15"/>
    </row>
    <row r="31" spans="1:15" ht="13.8">
      <c r="A31" s="15" t="s">
        <v>34</v>
      </c>
      <c r="B31" s="80">
        <v>48.207999999999998</v>
      </c>
      <c r="C31" s="82">
        <v>430</v>
      </c>
      <c r="D31" s="80">
        <v>24.878063955389997</v>
      </c>
      <c r="E31" s="84">
        <f>B31+C31+D31</f>
        <v>503.08606395538999</v>
      </c>
      <c r="F31" s="81"/>
      <c r="G31" s="82">
        <f>I31-H31</f>
        <v>325.68860562582</v>
      </c>
      <c r="H31" s="82">
        <v>127.69945832956999</v>
      </c>
      <c r="I31" s="82">
        <f>E31-J31</f>
        <v>453.38806395539001</v>
      </c>
      <c r="J31" s="82">
        <v>49.698</v>
      </c>
      <c r="K31" s="15"/>
      <c r="L31" s="15"/>
      <c r="M31" s="15"/>
      <c r="N31" s="15"/>
      <c r="O31" s="15"/>
    </row>
    <row r="32" spans="1:15" ht="16.2">
      <c r="A32" s="15" t="s">
        <v>35</v>
      </c>
      <c r="B32" s="80">
        <f>J31</f>
        <v>49.698</v>
      </c>
      <c r="C32" s="82">
        <v>365.27800000000002</v>
      </c>
      <c r="D32" s="80">
        <v>15.945374023673999</v>
      </c>
      <c r="E32" s="84">
        <f>B32+C32+D32</f>
        <v>430.92137402367399</v>
      </c>
      <c r="F32" s="81"/>
      <c r="G32" s="82">
        <v>310</v>
      </c>
      <c r="H32" s="82">
        <v>71.126637277750007</v>
      </c>
      <c r="I32" s="82">
        <f>SUM(G32:H32)</f>
        <v>381.12663727774998</v>
      </c>
      <c r="J32" s="82">
        <f>E32-I32</f>
        <v>49.794736745924013</v>
      </c>
      <c r="K32" s="15"/>
      <c r="L32" s="15"/>
      <c r="M32" s="15"/>
      <c r="N32" s="15"/>
      <c r="O32" s="15"/>
    </row>
    <row r="33" spans="1:17" ht="16.2">
      <c r="A33" s="14" t="s">
        <v>36</v>
      </c>
      <c r="B33" s="210">
        <f>J32</f>
        <v>49.794736745924013</v>
      </c>
      <c r="C33" s="212">
        <v>365</v>
      </c>
      <c r="D33" s="210">
        <v>20</v>
      </c>
      <c r="E33" s="213">
        <f>B33+C33+D33</f>
        <v>434.79473674592401</v>
      </c>
      <c r="F33" s="211"/>
      <c r="G33" s="212">
        <v>315</v>
      </c>
      <c r="H33" s="212">
        <v>70</v>
      </c>
      <c r="I33" s="212">
        <f>SUM(G33:H33)</f>
        <v>385</v>
      </c>
      <c r="J33" s="212">
        <f>E33-I33</f>
        <v>49.794736745924013</v>
      </c>
      <c r="K33" s="15"/>
      <c r="L33" s="15"/>
      <c r="M33" s="15"/>
      <c r="N33" s="15"/>
      <c r="O33" s="15"/>
    </row>
    <row r="34" spans="1:17" ht="16.2">
      <c r="A34" s="46" t="s">
        <v>85</v>
      </c>
      <c r="B34" s="15"/>
      <c r="C34" s="78"/>
      <c r="D34" s="78"/>
      <c r="E34" s="78"/>
      <c r="F34" s="78"/>
      <c r="G34" s="78"/>
      <c r="H34" s="78"/>
      <c r="I34" s="15"/>
      <c r="J34" s="15"/>
      <c r="K34" s="15"/>
      <c r="L34" s="15"/>
      <c r="M34" s="15"/>
      <c r="N34" s="15"/>
      <c r="O34" s="15"/>
    </row>
    <row r="35" spans="1:17" ht="14.4">
      <c r="A35" s="15" t="s">
        <v>90</v>
      </c>
      <c r="B35" s="33"/>
      <c r="C35" s="38"/>
      <c r="D35" s="33"/>
      <c r="E35" s="33"/>
      <c r="F35" s="33"/>
      <c r="G35" s="33"/>
      <c r="H35" s="33"/>
      <c r="I35" s="15"/>
      <c r="J35" s="15"/>
      <c r="K35" s="15"/>
      <c r="L35" s="15"/>
      <c r="M35" s="15"/>
      <c r="N35" s="15"/>
      <c r="O35" s="15"/>
    </row>
    <row r="36" spans="1:17" ht="13.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7" ht="13.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7" ht="13.8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7" ht="13.8">
      <c r="A39" s="15"/>
      <c r="B39" s="221" t="s">
        <v>13</v>
      </c>
      <c r="C39" s="221"/>
      <c r="D39" s="17" t="s">
        <v>14</v>
      </c>
      <c r="E39" s="221" t="s">
        <v>15</v>
      </c>
      <c r="F39" s="221"/>
      <c r="G39" s="221"/>
      <c r="H39" s="221"/>
      <c r="I39" s="15"/>
      <c r="J39" s="221" t="s">
        <v>57</v>
      </c>
      <c r="K39" s="221"/>
      <c r="L39" s="221"/>
      <c r="M39" s="221"/>
      <c r="N39" s="221"/>
      <c r="O39" s="77"/>
    </row>
    <row r="40" spans="1:17" ht="13.8">
      <c r="A40" s="15" t="s">
        <v>17</v>
      </c>
      <c r="B40" s="17" t="s">
        <v>18</v>
      </c>
      <c r="C40" s="17" t="s">
        <v>19</v>
      </c>
      <c r="D40" s="15"/>
      <c r="E40" s="17" t="s">
        <v>68</v>
      </c>
      <c r="F40" s="17"/>
      <c r="G40" s="17"/>
      <c r="H40" s="17"/>
      <c r="I40" s="15"/>
      <c r="J40" s="59" t="s">
        <v>88</v>
      </c>
      <c r="K40" s="17"/>
      <c r="L40" s="17" t="s">
        <v>22</v>
      </c>
      <c r="M40" s="17"/>
      <c r="N40" s="17"/>
      <c r="O40" s="17" t="s">
        <v>58</v>
      </c>
    </row>
    <row r="41" spans="1:17" ht="13.8">
      <c r="A41" s="21" t="s">
        <v>78</v>
      </c>
      <c r="B41" s="22"/>
      <c r="C41" s="22"/>
      <c r="D41" s="22"/>
      <c r="E41" s="23" t="s">
        <v>60</v>
      </c>
      <c r="F41" s="23" t="s">
        <v>26</v>
      </c>
      <c r="G41" s="23" t="s">
        <v>69</v>
      </c>
      <c r="H41" s="23" t="s">
        <v>83</v>
      </c>
      <c r="I41" s="23"/>
      <c r="J41" s="23" t="s">
        <v>91</v>
      </c>
      <c r="K41" s="23" t="s">
        <v>81</v>
      </c>
      <c r="L41" s="23" t="s">
        <v>29</v>
      </c>
      <c r="M41" s="25" t="s">
        <v>30</v>
      </c>
      <c r="N41" s="23" t="s">
        <v>61</v>
      </c>
      <c r="O41" s="23" t="s">
        <v>64</v>
      </c>
    </row>
    <row r="42" spans="1:17" ht="14.4">
      <c r="A42" s="15"/>
      <c r="B42" s="225" t="s">
        <v>92</v>
      </c>
      <c r="C42" s="226"/>
      <c r="D42" s="85" t="s">
        <v>93</v>
      </c>
      <c r="E42" s="228" t="s">
        <v>94</v>
      </c>
      <c r="F42" s="227"/>
      <c r="G42" s="227"/>
      <c r="H42" s="227"/>
      <c r="I42" s="227"/>
      <c r="J42" s="227"/>
      <c r="K42" s="227"/>
      <c r="L42" s="227"/>
      <c r="M42" s="227"/>
      <c r="N42" s="227"/>
      <c r="O42" s="226"/>
    </row>
    <row r="43" spans="1:17" ht="13.8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7" ht="13.8">
      <c r="A44" s="15" t="s">
        <v>34</v>
      </c>
      <c r="B44" s="79">
        <v>1580.2</v>
      </c>
      <c r="C44" s="79">
        <v>1540.1</v>
      </c>
      <c r="D44" s="79">
        <f>F44*1000/C44</f>
        <v>4130.4662034932799</v>
      </c>
      <c r="E44" s="79">
        <v>1968.162</v>
      </c>
      <c r="F44" s="79">
        <v>6361.3310000000001</v>
      </c>
      <c r="G44" s="82">
        <v>107.03</v>
      </c>
      <c r="H44" s="79">
        <f>SUM(E44:G44)</f>
        <v>8436.523000000001</v>
      </c>
      <c r="I44" s="79"/>
      <c r="J44" s="79">
        <v>3313.1</v>
      </c>
      <c r="K44" s="79">
        <v>842.43200000000002</v>
      </c>
      <c r="L44" s="82">
        <f t="shared" ref="L44" si="0">N44-J44-K44-M44</f>
        <v>736.59400000000142</v>
      </c>
      <c r="M44" s="82">
        <v>1184.1400000000001</v>
      </c>
      <c r="N44" s="79">
        <f>H44-O44</f>
        <v>6076.2660000000014</v>
      </c>
      <c r="O44" s="79">
        <v>2360.2570000000001</v>
      </c>
      <c r="P44" s="99"/>
      <c r="Q44" s="99"/>
    </row>
    <row r="45" spans="1:17" ht="16.2">
      <c r="A45" s="15" t="s">
        <v>35</v>
      </c>
      <c r="B45" s="79">
        <v>1450.3</v>
      </c>
      <c r="C45" s="79">
        <v>1383.1</v>
      </c>
      <c r="D45" s="79">
        <f>F45*1000/C45</f>
        <v>4007.5865808690623</v>
      </c>
      <c r="E45" s="79">
        <f>O44</f>
        <v>2360.2570000000001</v>
      </c>
      <c r="F45" s="79">
        <v>5542.893</v>
      </c>
      <c r="G45" s="82">
        <v>102.91</v>
      </c>
      <c r="H45" s="79">
        <f>SUM(E45:G45)</f>
        <v>8006.0599999999995</v>
      </c>
      <c r="I45" s="79"/>
      <c r="J45" s="79">
        <v>3201</v>
      </c>
      <c r="K45" s="79">
        <v>794.7</v>
      </c>
      <c r="L45" s="82">
        <f>N45-J45-K45-M45</f>
        <v>781.34399999999914</v>
      </c>
      <c r="M45" s="82">
        <v>1195.93</v>
      </c>
      <c r="N45" s="79">
        <f>H45-O45</f>
        <v>5972.9739999999993</v>
      </c>
      <c r="O45" s="79">
        <v>2033.086</v>
      </c>
      <c r="P45" s="99"/>
      <c r="Q45" s="99"/>
    </row>
    <row r="46" spans="1:17" ht="16.2">
      <c r="A46" s="14" t="s">
        <v>36</v>
      </c>
      <c r="B46" s="209">
        <v>1650</v>
      </c>
      <c r="C46" s="209">
        <v>1599.8</v>
      </c>
      <c r="D46" s="209">
        <f>F46*1000/C46</f>
        <v>3739.9424928116014</v>
      </c>
      <c r="E46" s="209">
        <f>O45</f>
        <v>2033.086</v>
      </c>
      <c r="F46" s="209">
        <v>5983.16</v>
      </c>
      <c r="G46" s="212">
        <v>115</v>
      </c>
      <c r="H46" s="209">
        <f>SUM(E46:G46)</f>
        <v>8131.2460000000001</v>
      </c>
      <c r="I46" s="209"/>
      <c r="J46" s="209">
        <v>3318.5820889158399</v>
      </c>
      <c r="K46" s="209">
        <v>775</v>
      </c>
      <c r="L46" s="212">
        <v>728.75</v>
      </c>
      <c r="M46" s="212">
        <v>1275</v>
      </c>
      <c r="N46" s="209">
        <f>SUM(J46:M46)</f>
        <v>6097.3320889158404</v>
      </c>
      <c r="O46" s="209">
        <f>H46-N46</f>
        <v>2033.9139110841597</v>
      </c>
      <c r="P46" s="99"/>
      <c r="Q46" s="99"/>
    </row>
    <row r="47" spans="1:17" ht="16.2">
      <c r="A47" s="46" t="s">
        <v>85</v>
      </c>
      <c r="B47" s="15"/>
      <c r="C47" s="78"/>
      <c r="D47" s="78"/>
      <c r="E47" s="78"/>
      <c r="F47" s="78"/>
      <c r="G47" s="78"/>
      <c r="H47" s="78"/>
      <c r="I47" s="15"/>
      <c r="J47" s="15"/>
      <c r="K47" s="15"/>
      <c r="L47" s="15"/>
      <c r="M47" s="15"/>
      <c r="N47" s="15"/>
      <c r="O47" s="15"/>
    </row>
    <row r="48" spans="1:17" ht="14.4">
      <c r="A48" s="15" t="s">
        <v>95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4">
      <c r="A49" s="15" t="s">
        <v>87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3.8">
      <c r="A50" s="20" t="s">
        <v>55</v>
      </c>
      <c r="B50" s="86">
        <f>Contents!A16</f>
        <v>45272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44.4" customHeight="1">
      <c r="A51" s="87"/>
      <c r="B51" s="88"/>
      <c r="C51" s="88"/>
      <c r="D51" s="88"/>
      <c r="E51" s="88"/>
      <c r="F51" s="88"/>
      <c r="G51" s="88"/>
      <c r="H51" s="88"/>
      <c r="I51" s="88"/>
      <c r="J51" s="107"/>
      <c r="K51" s="88"/>
      <c r="L51" s="88"/>
      <c r="M51" s="88"/>
      <c r="N51" s="88"/>
      <c r="O51" s="88"/>
    </row>
    <row r="52" spans="1:15" ht="15.6">
      <c r="G52" s="67"/>
      <c r="H52" s="67"/>
    </row>
    <row r="53" spans="1:15" ht="15.6">
      <c r="G53" s="67"/>
      <c r="H53" s="67"/>
    </row>
    <row r="54" spans="1:15" ht="15.6">
      <c r="G54" s="67"/>
      <c r="H54" s="67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40" type="noConversion"/>
  <pageMargins left="0.75" right="0.75" top="1" bottom="1" header="0.5" footer="0.5"/>
  <pageSetup scale="55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J40"/>
  <sheetViews>
    <sheetView showGridLines="0" zoomScale="70" zoomScaleNormal="70" workbookViewId="0"/>
  </sheetViews>
  <sheetFormatPr defaultColWidth="9.109375" defaultRowHeight="13.2"/>
  <cols>
    <col min="1" max="1" width="11.6640625" customWidth="1"/>
    <col min="2" max="2" width="18.88671875" bestFit="1" customWidth="1"/>
    <col min="3" max="3" width="22.109375" bestFit="1" customWidth="1"/>
    <col min="4" max="4" width="24.5546875" customWidth="1"/>
    <col min="5" max="5" width="25.33203125" customWidth="1"/>
    <col min="6" max="6" width="16.6640625" bestFit="1" customWidth="1"/>
    <col min="7" max="7" width="18.88671875" bestFit="1" customWidth="1"/>
  </cols>
  <sheetData>
    <row r="1" spans="1:10" ht="15.6" customHeight="1">
      <c r="A1" s="14" t="s">
        <v>8</v>
      </c>
      <c r="B1" s="14"/>
      <c r="C1" s="14"/>
      <c r="D1" s="14"/>
      <c r="E1" s="14"/>
      <c r="F1" s="14"/>
      <c r="G1" s="14"/>
    </row>
    <row r="2" spans="1:10" ht="15.6" customHeight="1">
      <c r="A2" s="15" t="s">
        <v>96</v>
      </c>
      <c r="B2" s="17" t="s">
        <v>97</v>
      </c>
      <c r="C2" s="17" t="s">
        <v>98</v>
      </c>
      <c r="D2" s="17" t="s">
        <v>99</v>
      </c>
      <c r="E2" s="17" t="s">
        <v>100</v>
      </c>
      <c r="F2" s="17" t="s">
        <v>101</v>
      </c>
      <c r="G2" s="17" t="s">
        <v>102</v>
      </c>
    </row>
    <row r="3" spans="1:10" ht="15.6" customHeight="1">
      <c r="A3" s="14" t="s">
        <v>103</v>
      </c>
      <c r="B3" s="24"/>
      <c r="C3" s="50"/>
      <c r="D3" s="50"/>
      <c r="E3" s="50"/>
      <c r="F3" s="50"/>
      <c r="G3" s="50"/>
    </row>
    <row r="4" spans="1:10" ht="14.4">
      <c r="A4" s="51"/>
      <c r="B4" s="52" t="s">
        <v>104</v>
      </c>
      <c r="C4" s="52" t="s">
        <v>105</v>
      </c>
      <c r="D4" s="52" t="s">
        <v>106</v>
      </c>
      <c r="E4" s="52" t="s">
        <v>106</v>
      </c>
      <c r="F4" s="52" t="s">
        <v>107</v>
      </c>
      <c r="G4" s="52" t="s">
        <v>104</v>
      </c>
    </row>
    <row r="5" spans="1:10" ht="13.8">
      <c r="A5" s="15"/>
      <c r="B5" s="15"/>
      <c r="C5" s="15"/>
      <c r="D5" s="17"/>
      <c r="E5" s="15"/>
      <c r="F5" s="15"/>
      <c r="G5" s="15"/>
    </row>
    <row r="6" spans="1:10" ht="13.8">
      <c r="A6" s="15" t="s">
        <v>108</v>
      </c>
      <c r="B6" s="53">
        <v>11.3</v>
      </c>
      <c r="C6" s="53">
        <v>161</v>
      </c>
      <c r="D6" s="53">
        <v>23.3</v>
      </c>
      <c r="E6" s="53">
        <v>19.3</v>
      </c>
      <c r="F6" s="53">
        <v>22.5</v>
      </c>
      <c r="G6" s="53">
        <v>12.2</v>
      </c>
      <c r="J6" s="68"/>
    </row>
    <row r="7" spans="1:10" ht="13.8">
      <c r="A7" s="15" t="s">
        <v>109</v>
      </c>
      <c r="B7" s="53">
        <v>12.5</v>
      </c>
      <c r="C7" s="53">
        <v>260</v>
      </c>
      <c r="D7" s="53">
        <v>29.1</v>
      </c>
      <c r="E7" s="53">
        <v>24</v>
      </c>
      <c r="F7" s="53">
        <v>31.8</v>
      </c>
      <c r="G7" s="53">
        <v>13.9</v>
      </c>
      <c r="J7" s="68"/>
    </row>
    <row r="8" spans="1:10" ht="13.8">
      <c r="A8" s="15" t="s">
        <v>110</v>
      </c>
      <c r="B8" s="53">
        <v>14.4</v>
      </c>
      <c r="C8" s="53">
        <v>252</v>
      </c>
      <c r="D8" s="53">
        <v>25.4</v>
      </c>
      <c r="E8" s="53">
        <v>26.5</v>
      </c>
      <c r="F8" s="53">
        <v>30.1</v>
      </c>
      <c r="G8" s="53">
        <v>13.8</v>
      </c>
      <c r="J8" s="68"/>
    </row>
    <row r="9" spans="1:10" ht="13.8">
      <c r="A9" s="15" t="s">
        <v>111</v>
      </c>
      <c r="B9" s="53">
        <v>13</v>
      </c>
      <c r="C9" s="53">
        <v>246</v>
      </c>
      <c r="D9" s="53">
        <v>21.4</v>
      </c>
      <c r="E9" s="53">
        <v>20.6</v>
      </c>
      <c r="F9" s="53">
        <v>24.9</v>
      </c>
      <c r="G9" s="53">
        <v>13.8</v>
      </c>
      <c r="J9" s="68"/>
    </row>
    <row r="10" spans="1:10" ht="13.8">
      <c r="A10" s="15" t="s">
        <v>112</v>
      </c>
      <c r="B10" s="53">
        <v>10.1</v>
      </c>
      <c r="C10" s="53">
        <v>194</v>
      </c>
      <c r="D10" s="53">
        <v>21.7</v>
      </c>
      <c r="E10" s="53">
        <v>16.899999999999999</v>
      </c>
      <c r="F10" s="53">
        <v>22</v>
      </c>
      <c r="G10" s="53">
        <v>11.8</v>
      </c>
      <c r="J10" s="68"/>
    </row>
    <row r="11" spans="1:10" ht="13.8">
      <c r="A11" s="15" t="s">
        <v>113</v>
      </c>
      <c r="B11" s="53">
        <v>8.9499999999999993</v>
      </c>
      <c r="C11" s="53">
        <v>227</v>
      </c>
      <c r="D11" s="53">
        <v>19.600000000000001</v>
      </c>
      <c r="E11" s="53">
        <v>15.6</v>
      </c>
      <c r="F11" s="53">
        <v>19.3</v>
      </c>
      <c r="G11" s="53">
        <v>8.9499999999999993</v>
      </c>
      <c r="J11" s="68"/>
    </row>
    <row r="12" spans="1:10" ht="13.8">
      <c r="A12" s="15" t="s">
        <v>114</v>
      </c>
      <c r="B12" s="53">
        <v>9.4700000000000006</v>
      </c>
      <c r="C12" s="53">
        <v>195</v>
      </c>
      <c r="D12" s="53">
        <v>17.399999999999999</v>
      </c>
      <c r="E12" s="53">
        <v>16.600000000000001</v>
      </c>
      <c r="F12" s="53">
        <v>19.7</v>
      </c>
      <c r="G12" s="53">
        <v>8</v>
      </c>
      <c r="J12" s="68"/>
    </row>
    <row r="13" spans="1:10" ht="13.8">
      <c r="A13" s="15" t="s">
        <v>115</v>
      </c>
      <c r="B13" s="53">
        <v>9.33</v>
      </c>
      <c r="C13" s="53">
        <v>142</v>
      </c>
      <c r="D13" s="53">
        <v>17.2</v>
      </c>
      <c r="E13" s="53">
        <v>17.5</v>
      </c>
      <c r="F13" s="53">
        <v>22.9</v>
      </c>
      <c r="G13" s="53">
        <v>9.5299999999999994</v>
      </c>
      <c r="J13" s="68"/>
    </row>
    <row r="14" spans="1:10" ht="13.8">
      <c r="A14" s="15" t="s">
        <v>116</v>
      </c>
      <c r="B14" s="53">
        <v>8.48</v>
      </c>
      <c r="C14" s="53">
        <v>155</v>
      </c>
      <c r="D14" s="53">
        <v>17.399999999999999</v>
      </c>
      <c r="E14" s="53">
        <v>15.8</v>
      </c>
      <c r="F14" s="53">
        <v>21.5</v>
      </c>
      <c r="G14" s="53">
        <v>9.89</v>
      </c>
      <c r="J14" s="68"/>
    </row>
    <row r="15" spans="1:10" ht="13.8">
      <c r="A15" s="15" t="s">
        <v>117</v>
      </c>
      <c r="B15" s="53">
        <v>8.57</v>
      </c>
      <c r="C15" s="53">
        <v>161</v>
      </c>
      <c r="D15" s="53">
        <v>19.5</v>
      </c>
      <c r="E15" s="53">
        <v>14.8</v>
      </c>
      <c r="F15" s="53">
        <v>20.5</v>
      </c>
      <c r="G15" s="53">
        <v>9.15</v>
      </c>
      <c r="J15" s="68"/>
    </row>
    <row r="16" spans="1:10" ht="13.8">
      <c r="A16" s="15" t="s">
        <v>118</v>
      </c>
      <c r="B16" s="53">
        <v>10.8</v>
      </c>
      <c r="C16" s="53">
        <v>194</v>
      </c>
      <c r="D16" s="53">
        <v>21.3</v>
      </c>
      <c r="E16" s="53">
        <v>18.400000000000002</v>
      </c>
      <c r="F16" s="53">
        <v>21</v>
      </c>
      <c r="G16" s="53">
        <v>11.1</v>
      </c>
      <c r="J16" s="68"/>
    </row>
    <row r="17" spans="1:10" ht="13.8">
      <c r="A17" s="15" t="s">
        <v>34</v>
      </c>
      <c r="B17" s="53">
        <v>13.3</v>
      </c>
      <c r="C17" s="53">
        <v>243</v>
      </c>
      <c r="D17" s="110">
        <v>32.9</v>
      </c>
      <c r="E17" s="53">
        <v>32.9</v>
      </c>
      <c r="F17" s="53">
        <v>24.3</v>
      </c>
      <c r="G17" s="53">
        <v>25.9</v>
      </c>
      <c r="J17" s="68"/>
    </row>
    <row r="18" spans="1:10" ht="16.2">
      <c r="A18" s="15" t="s">
        <v>119</v>
      </c>
      <c r="B18" s="53">
        <v>14.2</v>
      </c>
      <c r="C18" s="110">
        <v>306</v>
      </c>
      <c r="D18" s="53">
        <v>27.8</v>
      </c>
      <c r="E18" s="53">
        <v>29.8</v>
      </c>
      <c r="F18" s="53">
        <v>26.8</v>
      </c>
      <c r="G18" s="110">
        <v>17.5</v>
      </c>
      <c r="H18" s="122"/>
      <c r="J18" s="68"/>
    </row>
    <row r="19" spans="1:10" ht="16.2">
      <c r="A19" s="15" t="s">
        <v>120</v>
      </c>
      <c r="B19" s="53">
        <v>12.9</v>
      </c>
      <c r="C19" s="53">
        <v>230</v>
      </c>
      <c r="D19" s="53">
        <v>19.55</v>
      </c>
      <c r="E19" s="53">
        <v>25</v>
      </c>
      <c r="F19" s="53">
        <v>28</v>
      </c>
      <c r="G19" s="110">
        <v>13</v>
      </c>
      <c r="H19" s="122"/>
      <c r="J19" s="68"/>
    </row>
    <row r="20" spans="1:10" ht="13.8">
      <c r="A20" s="15"/>
      <c r="B20" s="54"/>
      <c r="C20" s="55"/>
      <c r="D20" s="56"/>
      <c r="E20" s="56"/>
      <c r="F20" s="55"/>
      <c r="G20" s="57"/>
      <c r="H20" s="47"/>
      <c r="J20" s="68"/>
    </row>
    <row r="21" spans="1:10" ht="13.8">
      <c r="A21" s="58" t="s">
        <v>52</v>
      </c>
      <c r="B21" s="53"/>
      <c r="C21" s="53"/>
      <c r="D21" s="53"/>
      <c r="E21" s="53"/>
      <c r="F21" s="53"/>
      <c r="G21" s="53"/>
    </row>
    <row r="22" spans="1:10" ht="13.8">
      <c r="A22" s="15" t="s">
        <v>37</v>
      </c>
      <c r="B22" s="110">
        <v>14.2</v>
      </c>
      <c r="C22" s="53">
        <v>316</v>
      </c>
      <c r="D22" s="53">
        <v>32.9</v>
      </c>
      <c r="E22" s="53">
        <v>28.1</v>
      </c>
      <c r="F22" s="53">
        <v>25.6</v>
      </c>
      <c r="G22" s="53">
        <v>18.899999999999999</v>
      </c>
    </row>
    <row r="23" spans="1:10" ht="13.8">
      <c r="A23" s="15" t="s">
        <v>38</v>
      </c>
      <c r="B23" s="53">
        <v>13.5</v>
      </c>
      <c r="C23" s="53">
        <v>340</v>
      </c>
      <c r="D23" s="53">
        <v>29.3</v>
      </c>
      <c r="E23" s="53">
        <v>28.1</v>
      </c>
      <c r="F23" s="53">
        <v>26.400000000000002</v>
      </c>
      <c r="G23" s="53">
        <v>18.600000000000001</v>
      </c>
    </row>
    <row r="24" spans="1:10" ht="13.8">
      <c r="A24" s="15" t="s">
        <v>39</v>
      </c>
      <c r="B24" s="53">
        <v>14</v>
      </c>
      <c r="C24" s="53">
        <v>281</v>
      </c>
      <c r="D24" s="53">
        <v>28.4</v>
      </c>
      <c r="E24" s="53">
        <v>29.2</v>
      </c>
      <c r="F24" s="53">
        <v>28.799999999999997</v>
      </c>
      <c r="G24" s="53">
        <v>19.5</v>
      </c>
    </row>
    <row r="25" spans="1:10" ht="13.8">
      <c r="A25" s="15" t="s">
        <v>41</v>
      </c>
      <c r="B25" s="53">
        <v>14.4</v>
      </c>
      <c r="C25" s="53">
        <v>315</v>
      </c>
      <c r="D25" s="53">
        <v>29.5</v>
      </c>
      <c r="E25" s="53">
        <v>29.2</v>
      </c>
      <c r="F25" s="53">
        <v>24.5</v>
      </c>
      <c r="G25" s="53">
        <v>18.3</v>
      </c>
    </row>
    <row r="26" spans="1:10" ht="13.8">
      <c r="A26" s="15" t="s">
        <v>42</v>
      </c>
      <c r="B26" s="53">
        <v>14.5</v>
      </c>
      <c r="C26" s="53">
        <v>273</v>
      </c>
      <c r="D26" s="53">
        <v>29</v>
      </c>
      <c r="E26" s="53">
        <v>30.1</v>
      </c>
      <c r="F26" s="53">
        <v>27.700000000000003</v>
      </c>
      <c r="G26" s="53">
        <v>17.7</v>
      </c>
    </row>
    <row r="27" spans="1:10" ht="13.8">
      <c r="A27" s="15" t="s">
        <v>43</v>
      </c>
      <c r="B27" s="53">
        <v>15.1</v>
      </c>
      <c r="C27" s="53">
        <v>223</v>
      </c>
      <c r="D27" s="53">
        <v>29.9</v>
      </c>
      <c r="E27" s="53">
        <v>31.7</v>
      </c>
      <c r="F27" s="53">
        <v>27</v>
      </c>
      <c r="G27" s="53">
        <v>15.4</v>
      </c>
    </row>
    <row r="28" spans="1:10" ht="13.8">
      <c r="A28" s="15" t="s">
        <v>45</v>
      </c>
      <c r="B28" s="53">
        <v>14.9</v>
      </c>
      <c r="C28" s="53" t="s">
        <v>76</v>
      </c>
      <c r="D28" s="53">
        <v>27.5</v>
      </c>
      <c r="E28" s="53">
        <v>29.8</v>
      </c>
      <c r="F28" s="53">
        <v>26.700000000000003</v>
      </c>
      <c r="G28" s="53">
        <v>14.8</v>
      </c>
    </row>
    <row r="29" spans="1:10" ht="13.8">
      <c r="A29" s="15" t="s">
        <v>46</v>
      </c>
      <c r="B29" s="53">
        <v>14.9</v>
      </c>
      <c r="C29" s="53" t="s">
        <v>76</v>
      </c>
      <c r="D29" s="53">
        <v>26.9</v>
      </c>
      <c r="E29" s="53">
        <v>26.8</v>
      </c>
      <c r="F29" s="53">
        <v>27.200000000000003</v>
      </c>
      <c r="G29" s="53">
        <v>12.1</v>
      </c>
    </row>
    <row r="30" spans="1:10" ht="13.8">
      <c r="A30" s="15" t="s">
        <v>47</v>
      </c>
      <c r="B30" s="53">
        <v>14.4</v>
      </c>
      <c r="C30" s="53" t="s">
        <v>76</v>
      </c>
      <c r="D30" s="53">
        <v>24.9</v>
      </c>
      <c r="E30" s="53">
        <v>25.2</v>
      </c>
      <c r="F30" s="53">
        <v>27.700000000000003</v>
      </c>
      <c r="G30" s="53">
        <v>12.5</v>
      </c>
    </row>
    <row r="31" spans="1:10" ht="13.8">
      <c r="A31" s="15" t="s">
        <v>49</v>
      </c>
      <c r="B31" s="53">
        <v>14.2</v>
      </c>
      <c r="C31" s="53" t="s">
        <v>76</v>
      </c>
      <c r="D31" s="53">
        <v>23.6</v>
      </c>
      <c r="E31" s="53">
        <v>27.3</v>
      </c>
      <c r="F31" s="53">
        <v>27.900000000000002</v>
      </c>
      <c r="G31" s="53">
        <v>13.1</v>
      </c>
    </row>
    <row r="32" spans="1:10" ht="13.8">
      <c r="A32" s="15" t="s">
        <v>50</v>
      </c>
      <c r="B32" s="53">
        <v>14.7</v>
      </c>
      <c r="C32" s="53" t="s">
        <v>76</v>
      </c>
      <c r="D32" s="53">
        <v>25</v>
      </c>
      <c r="E32" s="53">
        <v>27.2</v>
      </c>
      <c r="F32" s="53">
        <v>27.700000000000003</v>
      </c>
      <c r="G32" s="53">
        <v>11</v>
      </c>
    </row>
    <row r="33" spans="1:7" ht="13.8">
      <c r="A33" s="15" t="s">
        <v>51</v>
      </c>
      <c r="B33" s="53">
        <v>14.1</v>
      </c>
      <c r="C33" s="53">
        <v>219</v>
      </c>
      <c r="D33" s="53">
        <v>23.6</v>
      </c>
      <c r="E33" s="53">
        <v>28.1</v>
      </c>
      <c r="F33" s="53">
        <v>27.1</v>
      </c>
      <c r="G33" s="53">
        <v>11.2</v>
      </c>
    </row>
    <row r="34" spans="1:7" ht="13.8">
      <c r="A34" s="15"/>
      <c r="B34" s="53"/>
      <c r="C34" s="53"/>
      <c r="D34" s="53"/>
      <c r="E34" s="53"/>
      <c r="F34" s="53"/>
      <c r="G34" s="53"/>
    </row>
    <row r="35" spans="1:7" ht="13.8">
      <c r="A35" s="58" t="s">
        <v>156</v>
      </c>
      <c r="B35" s="53"/>
      <c r="C35" s="53"/>
      <c r="D35" s="53"/>
      <c r="E35" s="53"/>
      <c r="F35" s="53"/>
      <c r="G35" s="53"/>
    </row>
    <row r="36" spans="1:7" ht="13.8">
      <c r="A36" s="15" t="s">
        <v>37</v>
      </c>
      <c r="B36" s="53">
        <v>13.2</v>
      </c>
      <c r="C36" s="53">
        <v>242</v>
      </c>
      <c r="D36" s="53">
        <v>24</v>
      </c>
      <c r="E36" s="53">
        <v>25.1</v>
      </c>
      <c r="F36" s="53">
        <v>26.7</v>
      </c>
      <c r="G36" s="53">
        <v>12</v>
      </c>
    </row>
    <row r="37" spans="1:7" ht="13.8">
      <c r="A37" s="14" t="s">
        <v>38</v>
      </c>
      <c r="B37" s="147">
        <v>12.7</v>
      </c>
      <c r="C37" s="147">
        <v>233</v>
      </c>
      <c r="D37" s="147">
        <v>20.100000000000001</v>
      </c>
      <c r="E37" s="147">
        <v>23.6</v>
      </c>
      <c r="F37" s="147">
        <v>26.7</v>
      </c>
      <c r="G37" s="147">
        <v>13</v>
      </c>
    </row>
    <row r="38" spans="1:7" ht="16.2">
      <c r="A38" s="15" t="s">
        <v>121</v>
      </c>
      <c r="B38" s="15"/>
      <c r="C38" s="15"/>
      <c r="D38" s="15"/>
      <c r="E38" s="15"/>
      <c r="F38" s="15"/>
      <c r="G38" s="15"/>
    </row>
    <row r="39" spans="1:7" ht="14.4">
      <c r="A39" s="15" t="s">
        <v>122</v>
      </c>
      <c r="B39" s="15"/>
      <c r="C39" s="15"/>
      <c r="D39" s="15"/>
      <c r="E39" s="15"/>
      <c r="F39" s="15"/>
      <c r="G39" s="15"/>
    </row>
    <row r="40" spans="1:7" ht="13.8">
      <c r="A40" s="20" t="s">
        <v>55</v>
      </c>
      <c r="B40" s="41">
        <f>Contents!A16</f>
        <v>45272</v>
      </c>
      <c r="C40" s="15"/>
      <c r="D40" s="15"/>
      <c r="E40" s="15"/>
      <c r="F40" s="15"/>
      <c r="G40" s="15"/>
    </row>
  </sheetData>
  <phoneticPr fontId="40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K61"/>
  <sheetViews>
    <sheetView showGridLines="0" zoomScale="70" zoomScaleNormal="70" workbookViewId="0">
      <pane xSplit="1" ySplit="4" topLeftCell="B5" activePane="bottomRight" state="frozen"/>
      <selection activeCell="J19" sqref="J19"/>
      <selection pane="topRight" activeCell="J19" sqref="J19"/>
      <selection pane="bottomLeft" activeCell="J19" sqref="J19"/>
      <selection pane="bottomRight"/>
    </sheetView>
  </sheetViews>
  <sheetFormatPr defaultColWidth="9.109375" defaultRowHeight="13.2"/>
  <cols>
    <col min="1" max="2" width="11.6640625" customWidth="1"/>
    <col min="3" max="3" width="11.5546875" customWidth="1"/>
    <col min="4" max="4" width="13.6640625" customWidth="1"/>
    <col min="5" max="5" width="11.6640625" customWidth="1"/>
    <col min="6" max="6" width="11.5546875" bestFit="1" customWidth="1"/>
    <col min="7" max="7" width="10.6640625" customWidth="1"/>
    <col min="8" max="8" width="12" customWidth="1"/>
    <col min="9" max="9" width="13.44140625" customWidth="1"/>
  </cols>
  <sheetData>
    <row r="1" spans="1:11" ht="13.8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1" ht="15.6" customHeight="1">
      <c r="A2" s="59" t="s">
        <v>96</v>
      </c>
      <c r="B2" s="17" t="s">
        <v>123</v>
      </c>
      <c r="C2" s="17" t="s">
        <v>124</v>
      </c>
      <c r="D2" s="17" t="s">
        <v>125</v>
      </c>
      <c r="E2" s="60" t="s">
        <v>126</v>
      </c>
      <c r="F2" s="60" t="s">
        <v>127</v>
      </c>
      <c r="G2" s="17" t="s">
        <v>128</v>
      </c>
      <c r="H2" s="17" t="s">
        <v>129</v>
      </c>
      <c r="I2" s="61" t="s">
        <v>130</v>
      </c>
    </row>
    <row r="3" spans="1:11" ht="15.6" customHeight="1">
      <c r="A3" s="62" t="s">
        <v>103</v>
      </c>
      <c r="B3" s="23" t="s">
        <v>131</v>
      </c>
      <c r="C3" s="23" t="s">
        <v>132</v>
      </c>
      <c r="D3" s="23" t="s">
        <v>133</v>
      </c>
      <c r="E3" s="23" t="s">
        <v>133</v>
      </c>
      <c r="F3" s="23" t="s">
        <v>134</v>
      </c>
      <c r="G3" s="23" t="s">
        <v>135</v>
      </c>
      <c r="H3" s="23"/>
      <c r="I3" s="23" t="s">
        <v>136</v>
      </c>
    </row>
    <row r="4" spans="1:11" ht="14.4">
      <c r="A4" s="63" t="s">
        <v>137</v>
      </c>
      <c r="C4" s="64"/>
      <c r="D4" s="64"/>
      <c r="E4" s="64"/>
      <c r="F4" s="64"/>
      <c r="G4" s="64"/>
      <c r="H4" s="64"/>
      <c r="I4" s="64"/>
    </row>
    <row r="5" spans="1:11" ht="13.8">
      <c r="A5" s="15"/>
      <c r="B5" s="15"/>
      <c r="C5" s="15"/>
      <c r="D5" s="15"/>
      <c r="E5" s="15"/>
      <c r="F5" s="15"/>
      <c r="G5" s="15"/>
      <c r="H5" s="15"/>
      <c r="I5" s="15"/>
    </row>
    <row r="6" spans="1:11" ht="13.8">
      <c r="A6" s="15" t="s">
        <v>108</v>
      </c>
      <c r="B6" s="53">
        <v>53.2</v>
      </c>
      <c r="C6" s="53">
        <v>54.5</v>
      </c>
      <c r="D6" s="53">
        <v>86.12</v>
      </c>
      <c r="E6" s="53">
        <v>58.68</v>
      </c>
      <c r="F6" s="53">
        <v>77.239999999999995</v>
      </c>
      <c r="G6" s="53">
        <v>60.76</v>
      </c>
      <c r="H6" s="53">
        <v>51.52</v>
      </c>
      <c r="I6" s="53">
        <v>51.34</v>
      </c>
      <c r="K6" s="219"/>
    </row>
    <row r="7" spans="1:11" ht="13.8">
      <c r="A7" s="15" t="s">
        <v>109</v>
      </c>
      <c r="B7" s="53">
        <v>51.9</v>
      </c>
      <c r="C7" s="53">
        <v>53.22</v>
      </c>
      <c r="D7" s="53">
        <v>83.2</v>
      </c>
      <c r="E7" s="53">
        <v>57.19</v>
      </c>
      <c r="F7" s="53">
        <v>100.15</v>
      </c>
      <c r="G7" s="53">
        <v>56.09</v>
      </c>
      <c r="H7" s="53">
        <v>48.11</v>
      </c>
      <c r="I7" s="53">
        <v>50.33</v>
      </c>
      <c r="K7" s="219"/>
    </row>
    <row r="8" spans="1:11" ht="13.8">
      <c r="A8" s="15" t="s">
        <v>110</v>
      </c>
      <c r="B8" s="53">
        <v>47.13</v>
      </c>
      <c r="C8" s="53">
        <v>48.6</v>
      </c>
      <c r="D8" s="53">
        <v>65.87</v>
      </c>
      <c r="E8" s="53">
        <v>56.17</v>
      </c>
      <c r="F8" s="53">
        <v>91.83</v>
      </c>
      <c r="G8" s="53">
        <v>46.66</v>
      </c>
      <c r="H8" s="53">
        <v>51.8</v>
      </c>
      <c r="I8" s="53">
        <v>43.24</v>
      </c>
      <c r="K8" s="219"/>
    </row>
    <row r="9" spans="1:11" ht="13.8">
      <c r="A9" s="15" t="s">
        <v>111</v>
      </c>
      <c r="B9" s="53">
        <v>38.229999999999997</v>
      </c>
      <c r="C9" s="53">
        <v>60.66</v>
      </c>
      <c r="D9" s="53">
        <v>59.12</v>
      </c>
      <c r="E9" s="53">
        <v>43.7</v>
      </c>
      <c r="F9" s="53">
        <v>68.23</v>
      </c>
      <c r="G9" s="53">
        <v>39.43</v>
      </c>
      <c r="H9" s="53">
        <v>43.93</v>
      </c>
      <c r="I9" s="53">
        <v>39.76</v>
      </c>
      <c r="K9" s="219"/>
    </row>
    <row r="10" spans="1:11" ht="13.8">
      <c r="A10" s="15" t="s">
        <v>112</v>
      </c>
      <c r="B10" s="53">
        <v>31.6</v>
      </c>
      <c r="C10" s="53">
        <v>45.74</v>
      </c>
      <c r="D10" s="53">
        <v>66.72</v>
      </c>
      <c r="E10" s="53">
        <v>37.81</v>
      </c>
      <c r="F10" s="53">
        <v>57.96</v>
      </c>
      <c r="G10" s="53">
        <v>37.479999999999997</v>
      </c>
      <c r="H10" s="53">
        <v>33.43</v>
      </c>
      <c r="I10" s="53">
        <v>31.36</v>
      </c>
      <c r="K10" s="219"/>
    </row>
    <row r="11" spans="1:11" ht="13.8">
      <c r="A11" s="15" t="s">
        <v>113</v>
      </c>
      <c r="B11" s="53">
        <v>29.86</v>
      </c>
      <c r="C11" s="53">
        <v>45.87</v>
      </c>
      <c r="D11" s="53">
        <v>57.81</v>
      </c>
      <c r="E11" s="53">
        <v>35.270000000000003</v>
      </c>
      <c r="F11" s="53">
        <v>58.26</v>
      </c>
      <c r="G11" s="53">
        <v>39.25</v>
      </c>
      <c r="H11" s="53">
        <v>32.229999999999997</v>
      </c>
      <c r="I11" s="53">
        <v>30.07</v>
      </c>
      <c r="K11" s="219"/>
    </row>
    <row r="12" spans="1:11" ht="13.8">
      <c r="A12" s="15" t="s">
        <v>114</v>
      </c>
      <c r="B12" s="53">
        <v>32.549999999999997</v>
      </c>
      <c r="C12" s="53">
        <v>40.92</v>
      </c>
      <c r="D12" s="53">
        <v>53.54</v>
      </c>
      <c r="E12" s="53">
        <v>38.729999999999997</v>
      </c>
      <c r="F12" s="53">
        <v>66.73</v>
      </c>
      <c r="G12" s="53">
        <v>37.43</v>
      </c>
      <c r="H12" s="53">
        <v>33.07</v>
      </c>
      <c r="I12" s="53">
        <v>34.75</v>
      </c>
      <c r="K12" s="219"/>
    </row>
    <row r="13" spans="1:11" ht="13.8">
      <c r="A13" s="15" t="s">
        <v>115</v>
      </c>
      <c r="B13" s="53">
        <v>30.04</v>
      </c>
      <c r="C13" s="53">
        <v>31.87</v>
      </c>
      <c r="D13" s="53">
        <v>54.57</v>
      </c>
      <c r="E13" s="53">
        <v>38.270000000000003</v>
      </c>
      <c r="F13" s="53">
        <v>66.72</v>
      </c>
      <c r="G13" s="53">
        <v>30.35</v>
      </c>
      <c r="H13" s="53">
        <v>34.159999999999997</v>
      </c>
      <c r="I13" s="53">
        <v>31.21</v>
      </c>
      <c r="K13" s="219"/>
    </row>
    <row r="14" spans="1:11" ht="13.8">
      <c r="A14" s="15" t="s">
        <v>116</v>
      </c>
      <c r="B14" s="53">
        <v>28.26</v>
      </c>
      <c r="C14" s="53">
        <v>35.14</v>
      </c>
      <c r="D14" s="53">
        <v>53.28</v>
      </c>
      <c r="E14" s="53">
        <v>36.090000000000003</v>
      </c>
      <c r="F14" s="53">
        <v>64.72</v>
      </c>
      <c r="G14" s="53">
        <v>26.93</v>
      </c>
      <c r="H14" s="53">
        <v>31.65</v>
      </c>
      <c r="I14" s="53">
        <v>33.11</v>
      </c>
      <c r="K14" s="219"/>
    </row>
    <row r="15" spans="1:11" ht="13.8">
      <c r="A15" s="15" t="s">
        <v>117</v>
      </c>
      <c r="B15" s="53">
        <v>29.65</v>
      </c>
      <c r="C15" s="53">
        <v>40.18</v>
      </c>
      <c r="D15" s="53">
        <v>65.03</v>
      </c>
      <c r="E15" s="53">
        <v>37.869999999999997</v>
      </c>
      <c r="F15" s="53">
        <v>62</v>
      </c>
      <c r="G15" s="53">
        <v>39.47</v>
      </c>
      <c r="H15" s="53">
        <v>35.75</v>
      </c>
      <c r="I15" s="53">
        <v>38.369999999999997</v>
      </c>
      <c r="K15" s="219"/>
    </row>
    <row r="16" spans="1:11" ht="13.8">
      <c r="A16" s="15" t="s">
        <v>118</v>
      </c>
      <c r="B16" s="53">
        <v>56.87</v>
      </c>
      <c r="C16" s="53">
        <v>80.94</v>
      </c>
      <c r="D16" s="53">
        <v>79</v>
      </c>
      <c r="E16" s="53">
        <v>70.459999999999994</v>
      </c>
      <c r="F16" s="53">
        <v>101.4</v>
      </c>
      <c r="G16" s="53">
        <v>53.88</v>
      </c>
      <c r="H16" s="53">
        <v>55.89</v>
      </c>
      <c r="I16" s="53">
        <v>54.98</v>
      </c>
      <c r="K16" s="219"/>
    </row>
    <row r="17" spans="1:11" ht="13.8">
      <c r="A17" s="15" t="s">
        <v>34</v>
      </c>
      <c r="B17" s="53">
        <v>72.98</v>
      </c>
      <c r="C17" s="53">
        <v>107.15</v>
      </c>
      <c r="D17" s="53">
        <v>111.39</v>
      </c>
      <c r="E17" s="53">
        <v>90.52</v>
      </c>
      <c r="F17" s="53">
        <v>107.22</v>
      </c>
      <c r="G17" s="53">
        <v>64.28</v>
      </c>
      <c r="H17" s="53">
        <v>82</v>
      </c>
      <c r="I17" s="53">
        <v>81.84</v>
      </c>
      <c r="K17" s="219"/>
    </row>
    <row r="18" spans="1:11" ht="16.2">
      <c r="A18" s="15" t="s">
        <v>138</v>
      </c>
      <c r="B18" s="53">
        <v>65.260000000000005</v>
      </c>
      <c r="C18" s="53">
        <v>102.53</v>
      </c>
      <c r="D18" s="53">
        <v>80.11</v>
      </c>
      <c r="E18" s="53">
        <v>73.14</v>
      </c>
      <c r="F18" s="53">
        <v>93.52</v>
      </c>
      <c r="G18" s="53">
        <v>61.62</v>
      </c>
      <c r="H18" s="53">
        <v>84.25</v>
      </c>
      <c r="I18" s="53">
        <v>76.95</v>
      </c>
      <c r="K18" s="219"/>
    </row>
    <row r="19" spans="1:11" s="217" customFormat="1" ht="16.2">
      <c r="A19" s="215" t="s">
        <v>139</v>
      </c>
      <c r="B19" s="216">
        <v>57</v>
      </c>
      <c r="C19" s="216">
        <v>90</v>
      </c>
      <c r="D19" s="216">
        <v>69</v>
      </c>
      <c r="E19" s="216">
        <v>62</v>
      </c>
      <c r="F19" s="216">
        <v>92</v>
      </c>
      <c r="G19" s="214">
        <f>59-3</f>
        <v>56</v>
      </c>
      <c r="H19" s="214">
        <f>81-7</f>
        <v>74</v>
      </c>
      <c r="I19" s="214">
        <f>71-6</f>
        <v>65</v>
      </c>
      <c r="K19" s="219"/>
    </row>
    <row r="20" spans="1:11" ht="13.8">
      <c r="A20" s="15"/>
      <c r="B20" s="140"/>
      <c r="C20" s="140"/>
      <c r="D20" s="140"/>
      <c r="E20" s="140"/>
      <c r="F20" s="140"/>
      <c r="G20" s="140"/>
      <c r="H20" s="140"/>
      <c r="I20" s="140"/>
    </row>
    <row r="21" spans="1:11" ht="13.8">
      <c r="A21" s="35" t="s">
        <v>52</v>
      </c>
      <c r="B21" s="53"/>
      <c r="C21" s="53"/>
      <c r="D21" s="53"/>
      <c r="E21" s="53"/>
      <c r="F21" s="53"/>
      <c r="G21" s="53"/>
      <c r="H21" s="53"/>
      <c r="I21" s="53"/>
    </row>
    <row r="22" spans="1:11" ht="13.8">
      <c r="A22" s="15" t="s">
        <v>38</v>
      </c>
      <c r="B22" s="53">
        <v>72.67</v>
      </c>
      <c r="C22" s="53">
        <v>110.1875</v>
      </c>
      <c r="D22" s="53">
        <v>93.75</v>
      </c>
      <c r="E22" s="53">
        <v>80.125</v>
      </c>
      <c r="F22" s="53">
        <v>107.75</v>
      </c>
      <c r="G22" s="53">
        <v>65.412499999999994</v>
      </c>
      <c r="H22" s="53">
        <v>88</v>
      </c>
      <c r="I22" s="53">
        <v>88.5</v>
      </c>
    </row>
    <row r="23" spans="1:11" ht="13.8">
      <c r="A23" s="15" t="s">
        <v>39</v>
      </c>
      <c r="B23" s="53">
        <v>79.180000000000007</v>
      </c>
      <c r="C23" s="53">
        <v>116.6875</v>
      </c>
      <c r="D23" s="53">
        <v>106</v>
      </c>
      <c r="E23" s="53">
        <v>84.375</v>
      </c>
      <c r="F23" s="53">
        <v>111</v>
      </c>
      <c r="G23" s="53">
        <v>69.67</v>
      </c>
      <c r="H23" s="53" t="s">
        <v>76</v>
      </c>
      <c r="I23" s="53">
        <v>88.5</v>
      </c>
    </row>
    <row r="24" spans="1:11" ht="13.8">
      <c r="A24" s="15" t="s">
        <v>41</v>
      </c>
      <c r="B24" s="53">
        <v>68.14</v>
      </c>
      <c r="C24" s="53">
        <v>105.1</v>
      </c>
      <c r="D24" s="53">
        <v>92.3</v>
      </c>
      <c r="E24" s="53">
        <v>74.05</v>
      </c>
      <c r="F24" s="53">
        <v>101</v>
      </c>
      <c r="G24" s="53">
        <v>60</v>
      </c>
      <c r="H24" s="53" t="s">
        <v>76</v>
      </c>
      <c r="I24" s="53">
        <v>84</v>
      </c>
    </row>
    <row r="25" spans="1:11" ht="13.8">
      <c r="A25" s="15" t="s">
        <v>42</v>
      </c>
      <c r="B25" s="53">
        <v>66</v>
      </c>
      <c r="C25" s="53">
        <v>102.1875</v>
      </c>
      <c r="D25" s="53">
        <v>85.75</v>
      </c>
      <c r="E25" s="53">
        <v>71.1875</v>
      </c>
      <c r="F25" s="53">
        <v>95.375</v>
      </c>
      <c r="G25" s="53">
        <v>61</v>
      </c>
      <c r="H25" s="53">
        <v>87</v>
      </c>
      <c r="I25" s="53">
        <v>76.125</v>
      </c>
    </row>
    <row r="26" spans="1:11" ht="13.8">
      <c r="A26" s="15" t="s">
        <v>43</v>
      </c>
      <c r="B26" s="53">
        <v>63.242500000000007</v>
      </c>
      <c r="C26" s="53">
        <v>100</v>
      </c>
      <c r="D26" s="53">
        <v>81.25</v>
      </c>
      <c r="E26" s="53">
        <v>68.25</v>
      </c>
      <c r="F26" s="53">
        <v>88</v>
      </c>
      <c r="G26" s="53" t="s">
        <v>76</v>
      </c>
      <c r="H26" s="53" t="s">
        <v>76</v>
      </c>
      <c r="I26" s="53">
        <v>63.95</v>
      </c>
    </row>
    <row r="27" spans="1:11" ht="13.8">
      <c r="A27" s="15" t="s">
        <v>45</v>
      </c>
      <c r="B27" s="53">
        <v>58.83</v>
      </c>
      <c r="C27" s="53">
        <v>96.55</v>
      </c>
      <c r="D27" s="53">
        <v>76.599999999999994</v>
      </c>
      <c r="E27" s="53">
        <v>64.599999999999994</v>
      </c>
      <c r="F27" s="53">
        <v>84.4</v>
      </c>
      <c r="G27" s="53" t="s">
        <v>76</v>
      </c>
      <c r="H27" s="53" t="s">
        <v>76</v>
      </c>
      <c r="I27" s="53">
        <v>66.25</v>
      </c>
    </row>
    <row r="28" spans="1:11" ht="13.8">
      <c r="A28" s="15" t="s">
        <v>46</v>
      </c>
      <c r="B28" s="53">
        <v>55.474999999999994</v>
      </c>
      <c r="C28" s="53">
        <v>92.5625</v>
      </c>
      <c r="D28" s="53">
        <v>73</v>
      </c>
      <c r="E28" s="53">
        <v>62.625</v>
      </c>
      <c r="F28" s="53">
        <v>81.75</v>
      </c>
      <c r="G28" s="53" t="s">
        <v>76</v>
      </c>
      <c r="H28" s="53">
        <v>82</v>
      </c>
      <c r="I28" s="53" t="s">
        <v>76</v>
      </c>
    </row>
    <row r="29" spans="1:11" ht="13.8">
      <c r="A29" s="15" t="s">
        <v>47</v>
      </c>
      <c r="B29" s="53">
        <v>52.484999999999999</v>
      </c>
      <c r="C29" s="53">
        <v>91.75</v>
      </c>
      <c r="D29" s="53">
        <v>68.625</v>
      </c>
      <c r="E29" s="53">
        <v>62.125</v>
      </c>
      <c r="F29" s="53">
        <v>85.5</v>
      </c>
      <c r="G29" s="53">
        <v>52</v>
      </c>
      <c r="H29" s="53" t="s">
        <v>76</v>
      </c>
      <c r="I29" s="53" t="s">
        <v>76</v>
      </c>
    </row>
    <row r="30" spans="1:11" ht="13.8">
      <c r="A30" s="15" t="s">
        <v>49</v>
      </c>
      <c r="B30" s="53">
        <v>60.007999999999996</v>
      </c>
      <c r="C30" s="53">
        <v>97.85</v>
      </c>
      <c r="D30" s="53">
        <v>67</v>
      </c>
      <c r="E30" s="53">
        <v>71.849999999999994</v>
      </c>
      <c r="F30" s="53">
        <v>89.6</v>
      </c>
      <c r="G30" s="53" t="s">
        <v>76</v>
      </c>
      <c r="H30" s="53">
        <v>80</v>
      </c>
      <c r="I30" s="53">
        <v>74.59</v>
      </c>
    </row>
    <row r="31" spans="1:11" ht="13.8">
      <c r="A31" s="15" t="s">
        <v>50</v>
      </c>
      <c r="B31" s="53">
        <v>70.887499999999989</v>
      </c>
      <c r="C31" s="53">
        <v>107.75</v>
      </c>
      <c r="D31" s="53">
        <v>73.25</v>
      </c>
      <c r="E31" s="53">
        <v>83</v>
      </c>
      <c r="F31" s="53">
        <v>94.25</v>
      </c>
      <c r="G31" s="53" t="s">
        <v>76</v>
      </c>
      <c r="H31" s="53" t="s">
        <v>76</v>
      </c>
      <c r="I31" s="53">
        <v>74.625</v>
      </c>
    </row>
    <row r="32" spans="1:11" ht="13.8">
      <c r="A32" s="15" t="s">
        <v>51</v>
      </c>
      <c r="B32" s="53">
        <v>70.966999999999999</v>
      </c>
      <c r="C32" s="53">
        <v>108.19</v>
      </c>
      <c r="D32" s="53">
        <v>72.69</v>
      </c>
      <c r="E32" s="53">
        <v>81.69</v>
      </c>
      <c r="F32" s="53">
        <v>95.25</v>
      </c>
      <c r="G32" s="53" t="s">
        <v>76</v>
      </c>
      <c r="H32" s="53" t="s">
        <v>76</v>
      </c>
      <c r="I32" s="53">
        <v>76.7</v>
      </c>
    </row>
    <row r="33" spans="1:9" ht="13.8">
      <c r="A33" s="15" t="s">
        <v>37</v>
      </c>
      <c r="B33" s="53">
        <v>65.227999999999994</v>
      </c>
      <c r="C33" s="53">
        <v>101.5</v>
      </c>
      <c r="D33" s="53">
        <v>71.099999999999994</v>
      </c>
      <c r="E33" s="53">
        <v>73.75</v>
      </c>
      <c r="F33" s="53">
        <v>88.4</v>
      </c>
      <c r="G33" s="53" t="s">
        <v>76</v>
      </c>
      <c r="H33" s="53" t="s">
        <v>76</v>
      </c>
      <c r="I33" s="53">
        <v>76.25</v>
      </c>
    </row>
    <row r="34" spans="1:9" ht="13.8">
      <c r="A34" s="15"/>
      <c r="B34" s="53"/>
      <c r="C34" s="53"/>
      <c r="D34" s="53"/>
      <c r="E34" s="53"/>
      <c r="F34" s="53"/>
      <c r="G34" s="53"/>
      <c r="H34" s="53"/>
      <c r="I34" s="53"/>
    </row>
    <row r="35" spans="1:9" ht="13.8">
      <c r="A35" s="35" t="s">
        <v>156</v>
      </c>
      <c r="B35" s="53"/>
      <c r="C35" s="53"/>
      <c r="D35" s="53"/>
      <c r="E35" s="53"/>
      <c r="F35" s="53"/>
      <c r="G35" s="53"/>
      <c r="H35" s="53"/>
      <c r="I35" s="53"/>
    </row>
    <row r="36" spans="1:9" ht="13.8">
      <c r="A36" s="15" t="s">
        <v>38</v>
      </c>
      <c r="B36" s="53">
        <v>56.599999999999994</v>
      </c>
      <c r="C36" s="53">
        <v>92</v>
      </c>
      <c r="D36" s="53">
        <v>64.75</v>
      </c>
      <c r="E36" s="53">
        <v>65.1875</v>
      </c>
      <c r="F36" s="53">
        <v>83.25</v>
      </c>
      <c r="G36" s="53" t="s">
        <v>76</v>
      </c>
      <c r="H36" s="110">
        <v>90</v>
      </c>
      <c r="I36" s="53">
        <v>65.17</v>
      </c>
    </row>
    <row r="37" spans="1:9" ht="13.8">
      <c r="A37" s="14" t="s">
        <v>39</v>
      </c>
      <c r="B37" s="147">
        <v>53.39</v>
      </c>
      <c r="C37" s="147">
        <v>86.38</v>
      </c>
      <c r="D37" s="147">
        <v>62.25</v>
      </c>
      <c r="E37" s="147">
        <v>61.63</v>
      </c>
      <c r="F37" s="147">
        <v>81.5</v>
      </c>
      <c r="G37" s="147" t="s">
        <v>76</v>
      </c>
      <c r="H37" s="204" t="s">
        <v>76</v>
      </c>
      <c r="I37" s="147">
        <v>57.024999999999999</v>
      </c>
    </row>
    <row r="38" spans="1:9" ht="16.2">
      <c r="A38" s="46" t="s">
        <v>140</v>
      </c>
      <c r="B38" s="66"/>
      <c r="C38" s="66"/>
      <c r="D38" s="66"/>
      <c r="E38" s="66"/>
      <c r="F38" s="66"/>
      <c r="G38" s="66"/>
      <c r="H38" s="66"/>
    </row>
    <row r="39" spans="1:9" ht="16.2">
      <c r="A39" s="15" t="s">
        <v>141</v>
      </c>
      <c r="B39" s="66"/>
      <c r="C39" s="66"/>
      <c r="D39" s="66"/>
      <c r="E39" s="66"/>
      <c r="F39" s="66"/>
      <c r="G39" s="66"/>
      <c r="H39" s="66"/>
      <c r="I39" s="66"/>
    </row>
    <row r="40" spans="1:9" ht="14.4">
      <c r="A40" s="15" t="s">
        <v>142</v>
      </c>
      <c r="B40" s="15"/>
      <c r="C40" s="15"/>
      <c r="D40" s="15"/>
      <c r="E40" s="15"/>
      <c r="F40" s="66"/>
      <c r="G40" s="15"/>
      <c r="H40" s="15"/>
      <c r="I40" s="15"/>
    </row>
    <row r="41" spans="1:9" ht="13.8">
      <c r="A41" s="20" t="s">
        <v>55</v>
      </c>
      <c r="B41" s="41">
        <f>Contents!A16</f>
        <v>45272</v>
      </c>
      <c r="C41" s="15"/>
      <c r="D41" s="15"/>
      <c r="E41" s="15"/>
      <c r="F41" s="15"/>
      <c r="G41" s="15"/>
      <c r="H41" s="15"/>
      <c r="I41" s="15"/>
    </row>
    <row r="42" spans="1:9" ht="15.6">
      <c r="C42" s="67"/>
      <c r="G42" s="67"/>
      <c r="H42" s="67"/>
      <c r="I42" s="67"/>
    </row>
    <row r="43" spans="1:9" ht="15.6">
      <c r="B43" s="68"/>
      <c r="C43" s="68"/>
      <c r="D43" s="68"/>
      <c r="E43" s="68"/>
      <c r="F43" s="68"/>
      <c r="G43" s="68"/>
      <c r="H43" s="67"/>
      <c r="I43" s="67"/>
    </row>
    <row r="44" spans="1:9" ht="15.6">
      <c r="B44" s="96"/>
      <c r="C44" s="96"/>
      <c r="D44" s="96"/>
      <c r="E44" s="96"/>
      <c r="F44" s="96"/>
      <c r="G44" s="96"/>
      <c r="H44" s="67"/>
      <c r="I44" s="67"/>
    </row>
    <row r="45" spans="1:9" ht="15.6">
      <c r="C45" s="67"/>
      <c r="G45" s="67"/>
      <c r="H45" s="67"/>
      <c r="I45" s="67"/>
    </row>
    <row r="46" spans="1:9" ht="15.6">
      <c r="C46" s="67"/>
      <c r="G46" s="67"/>
      <c r="H46" s="67"/>
      <c r="I46" s="67"/>
    </row>
    <row r="47" spans="1:9" ht="15.6">
      <c r="C47" s="67"/>
      <c r="G47" s="67"/>
      <c r="H47" s="67"/>
      <c r="I47" s="67"/>
    </row>
    <row r="48" spans="1:9" ht="15.6">
      <c r="C48" s="67"/>
      <c r="G48" s="67"/>
      <c r="H48" s="67"/>
      <c r="I48" s="67"/>
    </row>
    <row r="49" spans="3:9" ht="15.6">
      <c r="C49" s="67"/>
      <c r="G49" s="67"/>
      <c r="H49" s="67"/>
      <c r="I49" s="67"/>
    </row>
    <row r="50" spans="3:9" ht="15.6">
      <c r="C50" s="67"/>
      <c r="G50" s="67"/>
      <c r="H50" s="67"/>
      <c r="I50" s="67"/>
    </row>
    <row r="51" spans="3:9" ht="15.6">
      <c r="C51" s="67"/>
      <c r="G51" s="67"/>
      <c r="H51" s="67"/>
      <c r="I51" s="67"/>
    </row>
    <row r="52" spans="3:9" ht="15.6">
      <c r="C52" s="67"/>
      <c r="G52" s="67"/>
      <c r="H52" s="67"/>
      <c r="I52" s="67"/>
    </row>
    <row r="53" spans="3:9" ht="15.6">
      <c r="C53" s="67"/>
      <c r="G53" s="67"/>
      <c r="H53" s="67"/>
      <c r="I53" s="67"/>
    </row>
    <row r="54" spans="3:9" ht="15.6">
      <c r="C54" s="67"/>
      <c r="G54" s="67"/>
      <c r="H54" s="67"/>
      <c r="I54" s="67"/>
    </row>
    <row r="55" spans="3:9" ht="15.6">
      <c r="C55" s="67"/>
      <c r="G55" s="67"/>
      <c r="H55" s="67"/>
      <c r="I55" s="67"/>
    </row>
    <row r="56" spans="3:9" ht="15.6">
      <c r="C56" s="67"/>
      <c r="G56" s="67"/>
      <c r="H56" s="67"/>
      <c r="I56" s="67"/>
    </row>
    <row r="57" spans="3:9" ht="15.6">
      <c r="C57" s="67"/>
      <c r="G57" s="67"/>
      <c r="H57" s="67"/>
      <c r="I57" s="67"/>
    </row>
    <row r="58" spans="3:9" ht="15.6">
      <c r="C58" s="67"/>
      <c r="H58" s="67"/>
      <c r="I58" s="67"/>
    </row>
    <row r="59" spans="3:9" ht="15.6">
      <c r="C59" s="67"/>
      <c r="H59" s="67"/>
      <c r="I59" s="67"/>
    </row>
    <row r="60" spans="3:9" ht="15.6">
      <c r="C60" s="67"/>
      <c r="F60" s="68"/>
      <c r="H60" s="67"/>
      <c r="I60" s="67"/>
    </row>
    <row r="61" spans="3:9" ht="15.6">
      <c r="F61" s="68"/>
      <c r="H61" s="67"/>
      <c r="I61" s="67"/>
    </row>
  </sheetData>
  <phoneticPr fontId="40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1"/>
  <sheetViews>
    <sheetView showGridLines="0" zoomScale="70" zoomScaleNormal="70" workbookViewId="0">
      <pane xSplit="1" ySplit="4" topLeftCell="B5" activePane="bottomRight" state="frozen"/>
      <selection activeCell="J19" sqref="J19"/>
      <selection pane="topRight" activeCell="J19" sqref="J19"/>
      <selection pane="bottomLeft" activeCell="J19" sqref="J19"/>
      <selection pane="bottomRight"/>
    </sheetView>
  </sheetViews>
  <sheetFormatPr defaultColWidth="9.109375" defaultRowHeight="13.2"/>
  <cols>
    <col min="1" max="1" width="11.6640625" customWidth="1"/>
    <col min="2" max="7" width="13.6640625" customWidth="1"/>
    <col min="8" max="8" width="10.109375" bestFit="1" customWidth="1"/>
    <col min="9" max="9" width="11.44140625" customWidth="1"/>
    <col min="11" max="11" width="8.88671875" customWidth="1"/>
    <col min="12" max="12" width="18" bestFit="1" customWidth="1"/>
  </cols>
  <sheetData>
    <row r="1" spans="1:28" ht="13.8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96</v>
      </c>
      <c r="B2" s="17" t="s">
        <v>123</v>
      </c>
      <c r="C2" s="69" t="s">
        <v>124</v>
      </c>
      <c r="D2" s="69" t="s">
        <v>125</v>
      </c>
      <c r="E2" s="69" t="s">
        <v>127</v>
      </c>
      <c r="F2" s="17" t="s">
        <v>143</v>
      </c>
      <c r="G2" s="17" t="s">
        <v>144</v>
      </c>
      <c r="AB2" s="70"/>
    </row>
    <row r="3" spans="1:28" ht="15.6" customHeight="1">
      <c r="A3" s="14" t="s">
        <v>103</v>
      </c>
      <c r="B3" s="23" t="s">
        <v>145</v>
      </c>
      <c r="C3" s="23" t="s">
        <v>146</v>
      </c>
      <c r="D3" s="23" t="s">
        <v>147</v>
      </c>
      <c r="E3" s="23" t="s">
        <v>148</v>
      </c>
      <c r="F3" s="23" t="s">
        <v>149</v>
      </c>
      <c r="G3" s="23" t="s">
        <v>150</v>
      </c>
      <c r="AB3" s="70"/>
    </row>
    <row r="4" spans="1:28" ht="14.4">
      <c r="A4" s="63" t="s">
        <v>151</v>
      </c>
      <c r="C4" s="64"/>
      <c r="D4" s="64"/>
      <c r="E4" s="64"/>
      <c r="F4" s="64"/>
      <c r="G4" s="64"/>
      <c r="AB4" s="70"/>
    </row>
    <row r="5" spans="1:28" ht="13.8">
      <c r="A5" s="15"/>
      <c r="B5" s="15"/>
      <c r="C5" s="15"/>
      <c r="D5" s="15"/>
      <c r="E5" s="15"/>
      <c r="F5" s="15"/>
      <c r="G5" s="15"/>
      <c r="AB5" s="70"/>
    </row>
    <row r="6" spans="1:28" ht="13.8">
      <c r="A6" s="15" t="s">
        <v>108</v>
      </c>
      <c r="B6" s="65">
        <v>345.52</v>
      </c>
      <c r="C6" s="65">
        <v>273.83999999999997</v>
      </c>
      <c r="D6" s="65">
        <v>219.72</v>
      </c>
      <c r="E6" s="57" t="s">
        <v>76</v>
      </c>
      <c r="F6" s="65">
        <v>263.63</v>
      </c>
      <c r="G6" s="65">
        <v>240.65</v>
      </c>
      <c r="H6" s="68"/>
      <c r="I6" s="68"/>
      <c r="AB6" s="70"/>
    </row>
    <row r="7" spans="1:28" ht="13.8">
      <c r="A7" s="15" t="s">
        <v>109</v>
      </c>
      <c r="B7" s="65">
        <v>393.53</v>
      </c>
      <c r="C7" s="65">
        <v>275.13</v>
      </c>
      <c r="D7" s="65">
        <v>246.75</v>
      </c>
      <c r="E7" s="57" t="s">
        <v>76</v>
      </c>
      <c r="F7" s="65">
        <v>307.58999999999997</v>
      </c>
      <c r="G7" s="65">
        <v>265.68</v>
      </c>
      <c r="H7" s="68"/>
      <c r="I7" s="68"/>
      <c r="AB7" s="70"/>
    </row>
    <row r="8" spans="1:28" ht="13.8">
      <c r="A8" s="15" t="s">
        <v>110</v>
      </c>
      <c r="B8" s="65">
        <v>468.11</v>
      </c>
      <c r="C8" s="65">
        <v>331.52</v>
      </c>
      <c r="D8" s="65">
        <v>241.57</v>
      </c>
      <c r="E8" s="57" t="s">
        <v>76</v>
      </c>
      <c r="F8" s="65">
        <v>354.22</v>
      </c>
      <c r="G8" s="65">
        <v>329.31</v>
      </c>
      <c r="H8" s="68"/>
      <c r="I8" s="68"/>
      <c r="AB8" s="70"/>
    </row>
    <row r="9" spans="1:28" ht="13.8">
      <c r="A9" s="15" t="s">
        <v>111</v>
      </c>
      <c r="B9" s="65">
        <v>489.94</v>
      </c>
      <c r="C9" s="65">
        <v>377.71</v>
      </c>
      <c r="D9" s="65">
        <v>238.87</v>
      </c>
      <c r="E9" s="57" t="s">
        <v>76</v>
      </c>
      <c r="F9" s="65">
        <v>359.7</v>
      </c>
      <c r="G9" s="65">
        <v>337.23</v>
      </c>
      <c r="H9" s="68"/>
      <c r="I9" s="68"/>
      <c r="AB9" s="70"/>
    </row>
    <row r="10" spans="1:28" ht="13.8">
      <c r="A10" s="15" t="s">
        <v>112</v>
      </c>
      <c r="B10" s="65">
        <v>368.49</v>
      </c>
      <c r="C10" s="65">
        <v>304.27</v>
      </c>
      <c r="D10" s="65">
        <v>209.97</v>
      </c>
      <c r="E10" s="57" t="s">
        <v>76</v>
      </c>
      <c r="F10" s="65">
        <v>301.2</v>
      </c>
      <c r="G10" s="65">
        <v>256.58</v>
      </c>
      <c r="H10" s="68"/>
      <c r="I10" s="68"/>
      <c r="AB10" s="70"/>
    </row>
    <row r="11" spans="1:28" ht="13.8">
      <c r="A11" s="15" t="s">
        <v>113</v>
      </c>
      <c r="B11" s="65">
        <v>324.56</v>
      </c>
      <c r="C11" s="65">
        <v>261.19</v>
      </c>
      <c r="D11" s="65">
        <v>153.16999999999999</v>
      </c>
      <c r="E11" s="57" t="s">
        <v>76</v>
      </c>
      <c r="F11" s="65">
        <v>262.2</v>
      </c>
      <c r="G11" s="65">
        <v>260.23</v>
      </c>
      <c r="H11" s="68"/>
      <c r="I11" s="68"/>
      <c r="AB11" s="70"/>
    </row>
    <row r="12" spans="1:28" ht="13.8">
      <c r="A12" s="15" t="s">
        <v>114</v>
      </c>
      <c r="B12" s="65">
        <v>316.88</v>
      </c>
      <c r="C12" s="65">
        <v>208.61</v>
      </c>
      <c r="D12" s="65">
        <v>145.1</v>
      </c>
      <c r="E12" s="57" t="s">
        <v>76</v>
      </c>
      <c r="F12" s="65">
        <v>267.94</v>
      </c>
      <c r="G12" s="65">
        <v>282.49</v>
      </c>
      <c r="H12" s="68"/>
      <c r="I12" s="68"/>
      <c r="AB12" s="70"/>
    </row>
    <row r="13" spans="1:28" ht="13.8">
      <c r="A13" s="15" t="s">
        <v>115</v>
      </c>
      <c r="B13" s="65">
        <v>345.02</v>
      </c>
      <c r="C13" s="65">
        <v>260.88</v>
      </c>
      <c r="D13" s="65">
        <v>173.53</v>
      </c>
      <c r="E13" s="57" t="s">
        <v>76</v>
      </c>
      <c r="F13" s="65">
        <v>291.14999999999998</v>
      </c>
      <c r="G13" s="65">
        <v>239.15</v>
      </c>
      <c r="H13" s="68"/>
      <c r="I13" s="68"/>
    </row>
    <row r="14" spans="1:28" ht="13.8">
      <c r="A14" s="15" t="s">
        <v>116</v>
      </c>
      <c r="B14" s="65">
        <v>308.27999999999997</v>
      </c>
      <c r="C14" s="65">
        <v>228.64</v>
      </c>
      <c r="D14" s="65">
        <v>164.16</v>
      </c>
      <c r="E14" s="57" t="s">
        <v>76</v>
      </c>
      <c r="F14" s="65">
        <v>272.38</v>
      </c>
      <c r="G14" s="65">
        <v>225.77</v>
      </c>
      <c r="H14" s="68"/>
      <c r="I14" s="68"/>
    </row>
    <row r="15" spans="1:28" ht="13.8">
      <c r="A15" s="15" t="s">
        <v>117</v>
      </c>
      <c r="B15" s="65">
        <v>299.5</v>
      </c>
      <c r="C15" s="65">
        <v>247.04</v>
      </c>
      <c r="D15" s="65">
        <v>187.7</v>
      </c>
      <c r="E15" s="57" t="s">
        <v>76</v>
      </c>
      <c r="F15" s="65">
        <v>273.99</v>
      </c>
      <c r="G15" s="65">
        <v>245.88</v>
      </c>
      <c r="H15" s="68"/>
      <c r="I15" s="68"/>
    </row>
    <row r="16" spans="1:28" ht="13.8">
      <c r="A16" s="15" t="s">
        <v>118</v>
      </c>
      <c r="B16" s="65">
        <v>392.31</v>
      </c>
      <c r="C16" s="65">
        <v>375.51</v>
      </c>
      <c r="D16" s="106">
        <v>246.22</v>
      </c>
      <c r="E16" s="57" t="s">
        <v>76</v>
      </c>
      <c r="F16" s="65">
        <v>351.87</v>
      </c>
      <c r="G16" s="65">
        <v>288.12</v>
      </c>
      <c r="H16" s="68"/>
      <c r="I16" s="68"/>
    </row>
    <row r="17" spans="1:13" ht="13.8">
      <c r="A17" s="15" t="s">
        <v>34</v>
      </c>
      <c r="B17" s="65">
        <v>439.81</v>
      </c>
      <c r="C17" s="65">
        <v>355.33</v>
      </c>
      <c r="D17" s="65">
        <v>279.98</v>
      </c>
      <c r="E17" s="57" t="s">
        <v>76</v>
      </c>
      <c r="F17" s="65">
        <v>439.1</v>
      </c>
      <c r="G17" s="65">
        <v>332.21</v>
      </c>
      <c r="H17" s="68"/>
      <c r="I17" s="68"/>
    </row>
    <row r="18" spans="1:13" ht="16.2">
      <c r="A18" s="15" t="s">
        <v>138</v>
      </c>
      <c r="B18" s="65">
        <v>451.91</v>
      </c>
      <c r="C18" s="65">
        <v>379.13</v>
      </c>
      <c r="D18" s="65">
        <v>244.34</v>
      </c>
      <c r="E18" s="57" t="s">
        <v>76</v>
      </c>
      <c r="F18" s="65">
        <v>431.34</v>
      </c>
      <c r="G18" s="106">
        <v>359.06</v>
      </c>
      <c r="H18" s="68"/>
      <c r="I18" s="68"/>
    </row>
    <row r="19" spans="1:13" ht="16.2">
      <c r="A19" s="15" t="s">
        <v>139</v>
      </c>
      <c r="B19" s="65">
        <v>390</v>
      </c>
      <c r="C19" s="65">
        <v>350</v>
      </c>
      <c r="D19" s="65">
        <v>235</v>
      </c>
      <c r="E19" s="57" t="s">
        <v>76</v>
      </c>
      <c r="F19" s="65">
        <v>370</v>
      </c>
      <c r="G19" s="106">
        <v>290</v>
      </c>
      <c r="H19" s="68"/>
      <c r="I19" s="68"/>
    </row>
    <row r="20" spans="1:13" ht="13.8">
      <c r="A20" s="15"/>
      <c r="B20" s="65"/>
      <c r="C20" s="65"/>
      <c r="D20" s="65"/>
      <c r="E20" s="57"/>
      <c r="F20" s="65"/>
      <c r="G20" s="65"/>
      <c r="I20" s="71"/>
      <c r="J20" s="72"/>
      <c r="K20" s="72"/>
      <c r="L20" s="72"/>
      <c r="M20" s="72"/>
    </row>
    <row r="21" spans="1:13" ht="13.8">
      <c r="A21" s="35" t="s">
        <v>52</v>
      </c>
      <c r="B21" s="106"/>
      <c r="C21" s="65"/>
      <c r="D21" s="65"/>
      <c r="E21" s="57"/>
      <c r="F21" s="65"/>
      <c r="G21" s="65"/>
      <c r="H21" s="53"/>
    </row>
    <row r="22" spans="1:13" ht="13.8">
      <c r="A22" s="15" t="s">
        <v>38</v>
      </c>
      <c r="B22" s="106">
        <v>468.67499999999995</v>
      </c>
      <c r="C22" s="65">
        <v>451.875</v>
      </c>
      <c r="D22" s="65" t="s">
        <v>76</v>
      </c>
      <c r="E22" s="57" t="s">
        <v>76</v>
      </c>
      <c r="F22" s="65">
        <v>409.17499999999995</v>
      </c>
      <c r="G22" s="65" t="s">
        <v>76</v>
      </c>
      <c r="H22" s="53"/>
      <c r="I22" s="68"/>
    </row>
    <row r="23" spans="1:13" ht="13.8">
      <c r="A23" s="15" t="s">
        <v>39</v>
      </c>
      <c r="B23" s="106">
        <v>436.74999999999994</v>
      </c>
      <c r="C23" s="65">
        <v>405</v>
      </c>
      <c r="D23" s="65" t="s">
        <v>76</v>
      </c>
      <c r="E23" s="57" t="s">
        <v>76</v>
      </c>
      <c r="F23" s="65">
        <v>402.99999999999994</v>
      </c>
      <c r="G23" s="65">
        <v>357.5</v>
      </c>
      <c r="H23" s="53"/>
      <c r="I23" s="68"/>
    </row>
    <row r="24" spans="1:13" ht="13.8">
      <c r="A24" s="15" t="s">
        <v>41</v>
      </c>
      <c r="B24" s="106">
        <v>462.85</v>
      </c>
      <c r="C24" s="65">
        <v>390.625</v>
      </c>
      <c r="D24" s="65">
        <v>200</v>
      </c>
      <c r="E24" s="57" t="s">
        <v>76</v>
      </c>
      <c r="F24" s="65">
        <v>437.09999999999997</v>
      </c>
      <c r="G24" s="65">
        <v>368.5</v>
      </c>
      <c r="H24" s="53"/>
      <c r="I24" s="68"/>
    </row>
    <row r="25" spans="1:13" ht="13.8">
      <c r="A25" s="15" t="s">
        <v>42</v>
      </c>
      <c r="B25" s="106">
        <v>482.40000000000003</v>
      </c>
      <c r="C25" s="65">
        <v>386.25</v>
      </c>
      <c r="D25" s="65">
        <v>355</v>
      </c>
      <c r="E25" s="57" t="s">
        <v>76</v>
      </c>
      <c r="F25" s="65">
        <v>474.02500000000003</v>
      </c>
      <c r="G25" s="65">
        <v>397.5</v>
      </c>
      <c r="H25" s="53"/>
      <c r="I25" s="68"/>
    </row>
    <row r="26" spans="1:13" ht="13.8">
      <c r="A26" s="15" t="s">
        <v>43</v>
      </c>
      <c r="B26" s="106">
        <v>500.52499999999998</v>
      </c>
      <c r="C26" s="65">
        <v>392.5</v>
      </c>
      <c r="D26" s="65">
        <v>336.25</v>
      </c>
      <c r="E26" s="57" t="s">
        <v>76</v>
      </c>
      <c r="F26" s="65">
        <v>501.02499999999998</v>
      </c>
      <c r="G26" s="65">
        <v>412.5</v>
      </c>
      <c r="H26" s="53"/>
      <c r="I26" s="68"/>
    </row>
    <row r="27" spans="1:13" ht="13.8">
      <c r="A27" s="15" t="s">
        <v>45</v>
      </c>
      <c r="B27" s="106">
        <v>484.4</v>
      </c>
      <c r="C27" s="65">
        <v>386.25</v>
      </c>
      <c r="D27" s="65">
        <v>308</v>
      </c>
      <c r="E27" s="57" t="s">
        <v>76</v>
      </c>
      <c r="F27" s="65">
        <v>466.6</v>
      </c>
      <c r="G27" s="65">
        <v>380.4</v>
      </c>
      <c r="H27" s="53"/>
      <c r="I27" s="68"/>
    </row>
    <row r="28" spans="1:13" ht="13.8">
      <c r="A28" s="15" t="s">
        <v>46</v>
      </c>
      <c r="B28" s="106">
        <v>457.25</v>
      </c>
      <c r="C28" s="65">
        <v>364.375</v>
      </c>
      <c r="D28" s="65">
        <v>252.5</v>
      </c>
      <c r="E28" s="57" t="s">
        <v>76</v>
      </c>
      <c r="F28" s="65">
        <v>434.75</v>
      </c>
      <c r="G28" s="65">
        <v>352.5</v>
      </c>
      <c r="H28" s="53"/>
      <c r="I28" s="68"/>
    </row>
    <row r="29" spans="1:13" ht="13.8">
      <c r="A29" s="15" t="s">
        <v>47</v>
      </c>
      <c r="B29" s="106">
        <v>423.57499999999999</v>
      </c>
      <c r="C29" s="65">
        <v>370.625</v>
      </c>
      <c r="D29" s="65">
        <v>237.5</v>
      </c>
      <c r="E29" s="57" t="s">
        <v>76</v>
      </c>
      <c r="F29" s="65">
        <v>407.02500000000003</v>
      </c>
      <c r="G29" s="65">
        <v>352.5</v>
      </c>
      <c r="H29" s="53"/>
      <c r="I29" s="68"/>
    </row>
    <row r="30" spans="1:13" ht="13.8">
      <c r="A30" s="15" t="s">
        <v>49</v>
      </c>
      <c r="B30" s="106">
        <v>413.46000000000004</v>
      </c>
      <c r="C30" s="65">
        <v>362.5</v>
      </c>
      <c r="D30" s="65">
        <v>208.00200000000001</v>
      </c>
      <c r="E30" s="57" t="s">
        <v>76</v>
      </c>
      <c r="F30" s="65">
        <v>405.06000000000006</v>
      </c>
      <c r="G30" s="65">
        <v>354</v>
      </c>
      <c r="H30" s="53"/>
      <c r="I30" s="68"/>
    </row>
    <row r="31" spans="1:13" ht="13.8">
      <c r="A31" s="15" t="s">
        <v>50</v>
      </c>
      <c r="B31" s="106">
        <v>443.15</v>
      </c>
      <c r="C31" s="65">
        <v>347.5</v>
      </c>
      <c r="D31" s="65">
        <v>159.16749999999999</v>
      </c>
      <c r="E31" s="57" t="s">
        <v>76</v>
      </c>
      <c r="F31" s="65">
        <v>432.1</v>
      </c>
      <c r="G31" s="65">
        <v>335</v>
      </c>
      <c r="H31" s="53"/>
      <c r="I31" s="68"/>
    </row>
    <row r="32" spans="1:13" ht="13.8">
      <c r="A32" s="15" t="s">
        <v>51</v>
      </c>
      <c r="B32" s="106">
        <v>438.8</v>
      </c>
      <c r="C32" s="65">
        <v>348.33</v>
      </c>
      <c r="D32" s="65">
        <v>185</v>
      </c>
      <c r="E32" s="57" t="s">
        <v>76</v>
      </c>
      <c r="F32" s="65">
        <v>412.9</v>
      </c>
      <c r="G32" s="65">
        <v>321.25</v>
      </c>
      <c r="H32" s="53"/>
      <c r="I32" s="68"/>
    </row>
    <row r="33" spans="1:10" ht="13.8">
      <c r="A33" s="15" t="s">
        <v>37</v>
      </c>
      <c r="B33" s="106">
        <v>411.07</v>
      </c>
      <c r="C33" s="65">
        <v>343.75</v>
      </c>
      <c r="D33" s="65">
        <v>202</v>
      </c>
      <c r="E33" s="57" t="s">
        <v>76</v>
      </c>
      <c r="F33" s="65">
        <v>393.26</v>
      </c>
      <c r="G33" s="65">
        <v>318</v>
      </c>
      <c r="H33" s="53"/>
    </row>
    <row r="34" spans="1:10" ht="13.8">
      <c r="A34" s="15"/>
      <c r="B34" s="106"/>
      <c r="C34" s="65"/>
      <c r="D34" s="65"/>
      <c r="E34" s="57"/>
      <c r="F34" s="65"/>
      <c r="G34" s="65"/>
      <c r="H34" s="53"/>
    </row>
    <row r="35" spans="1:10" ht="13.8">
      <c r="A35" s="35" t="s">
        <v>156</v>
      </c>
      <c r="B35" s="106"/>
      <c r="C35" s="65"/>
      <c r="D35" s="65"/>
      <c r="E35" s="57"/>
      <c r="F35" s="65"/>
      <c r="G35" s="65"/>
      <c r="H35" s="53"/>
    </row>
    <row r="36" spans="1:10" ht="13.8">
      <c r="A36" s="15" t="s">
        <v>38</v>
      </c>
      <c r="B36" s="106">
        <v>416.16</v>
      </c>
      <c r="C36" s="65">
        <v>348.75</v>
      </c>
      <c r="D36" s="65">
        <v>229.16500000000002</v>
      </c>
      <c r="E36" s="57" t="s">
        <v>76</v>
      </c>
      <c r="F36" s="65">
        <v>407.1</v>
      </c>
      <c r="G36" s="65">
        <v>325</v>
      </c>
      <c r="H36" s="53"/>
    </row>
    <row r="37" spans="1:10" ht="13.8">
      <c r="A37" s="14" t="s">
        <v>39</v>
      </c>
      <c r="B37" s="148">
        <v>464.27</v>
      </c>
      <c r="C37" s="149">
        <v>350</v>
      </c>
      <c r="D37" s="149">
        <v>266.67</v>
      </c>
      <c r="E37" s="189" t="s">
        <v>76</v>
      </c>
      <c r="F37" s="149">
        <v>441.77</v>
      </c>
      <c r="G37" s="148">
        <v>348.33</v>
      </c>
      <c r="H37" s="53"/>
    </row>
    <row r="38" spans="1:10" ht="16.2">
      <c r="A38" s="46" t="s">
        <v>152</v>
      </c>
      <c r="B38" s="73"/>
      <c r="C38" s="73"/>
      <c r="D38" s="73"/>
      <c r="E38" s="73"/>
      <c r="F38" s="73"/>
      <c r="G38" s="73"/>
      <c r="I38" s="71"/>
    </row>
    <row r="39" spans="1:10" ht="16.2">
      <c r="A39" s="46" t="s">
        <v>153</v>
      </c>
      <c r="B39" s="74"/>
      <c r="C39" s="74"/>
      <c r="D39" s="74"/>
      <c r="E39" s="74"/>
      <c r="F39" s="74"/>
      <c r="G39" s="74"/>
      <c r="I39" s="71"/>
      <c r="J39" s="71"/>
    </row>
    <row r="40" spans="1:10" ht="14.4">
      <c r="A40" s="15" t="s">
        <v>154</v>
      </c>
      <c r="B40" s="15"/>
      <c r="C40" s="15"/>
      <c r="D40" s="15"/>
      <c r="E40" s="15"/>
      <c r="F40" s="74"/>
      <c r="G40" s="74"/>
      <c r="I40" s="71"/>
      <c r="J40" s="71"/>
    </row>
    <row r="41" spans="1:10" ht="13.8">
      <c r="A41" s="20" t="s">
        <v>55</v>
      </c>
      <c r="B41" s="41">
        <f>Contents!A16</f>
        <v>45272</v>
      </c>
      <c r="C41" s="15"/>
      <c r="D41" s="15"/>
      <c r="E41" s="15"/>
      <c r="F41" s="74"/>
      <c r="G41" s="74"/>
      <c r="I41" s="75"/>
      <c r="J41" s="75"/>
    </row>
    <row r="42" spans="1:10" ht="13.8">
      <c r="F42" s="74"/>
      <c r="G42" s="74"/>
      <c r="I42" s="75"/>
      <c r="J42" s="75"/>
    </row>
    <row r="43" spans="1:10" ht="13.8">
      <c r="B43" s="68"/>
      <c r="F43" s="74"/>
      <c r="G43" s="74"/>
      <c r="I43" s="71"/>
      <c r="J43" s="71"/>
    </row>
    <row r="44" spans="1:10">
      <c r="B44" s="111"/>
      <c r="I44" s="71"/>
      <c r="J44" s="71"/>
    </row>
    <row r="45" spans="1:10">
      <c r="I45" s="71"/>
      <c r="J45" s="71"/>
    </row>
    <row r="46" spans="1:10">
      <c r="I46" s="71"/>
      <c r="J46" s="71"/>
    </row>
    <row r="47" spans="1:10">
      <c r="I47" s="71"/>
      <c r="J47" s="71"/>
    </row>
    <row r="48" spans="1:10">
      <c r="I48" s="71"/>
      <c r="J48" s="71"/>
    </row>
    <row r="50" spans="9:10">
      <c r="I50" s="76"/>
      <c r="J50" s="76"/>
    </row>
    <row r="51" spans="9:10">
      <c r="I51" s="76"/>
      <c r="J51" s="76"/>
    </row>
  </sheetData>
  <phoneticPr fontId="40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3A77B-5040-42F7-BB5A-680BB1DEF1DE}">
  <dimension ref="A1:J88"/>
  <sheetViews>
    <sheetView zoomScale="90" zoomScaleNormal="90" workbookViewId="0"/>
  </sheetViews>
  <sheetFormatPr defaultColWidth="9.109375" defaultRowHeight="13.8"/>
  <cols>
    <col min="1" max="2" width="15.44140625" style="15" customWidth="1"/>
    <col min="3" max="3" width="10.44140625" style="15" customWidth="1"/>
    <col min="4" max="4" width="12.109375" style="15" bestFit="1" customWidth="1"/>
    <col min="6" max="6" width="7.88671875" style="15" customWidth="1"/>
    <col min="7" max="7" width="9.33203125" style="15" bestFit="1" customWidth="1"/>
    <col min="8" max="10" width="7.88671875" style="15" customWidth="1"/>
    <col min="11" max="16384" width="9.109375" style="15"/>
  </cols>
  <sheetData>
    <row r="1" spans="1:10" ht="34.5" customHeight="1">
      <c r="A1" s="129" t="s">
        <v>155</v>
      </c>
      <c r="B1" s="129" t="s">
        <v>212</v>
      </c>
      <c r="C1" s="130" t="s">
        <v>14</v>
      </c>
      <c r="D1" s="130" t="s">
        <v>26</v>
      </c>
      <c r="F1" s="35"/>
      <c r="G1" s="35"/>
      <c r="H1" s="35"/>
      <c r="I1" s="35"/>
      <c r="J1" s="35"/>
    </row>
    <row r="2" spans="1:10">
      <c r="A2" s="87" t="s">
        <v>111</v>
      </c>
      <c r="B2" s="87">
        <v>30.1</v>
      </c>
      <c r="C2" s="131">
        <f>D2/B2</f>
        <v>2.8637873754152823</v>
      </c>
      <c r="D2" s="135">
        <v>86.2</v>
      </c>
      <c r="F2" s="132"/>
    </row>
    <row r="3" spans="1:10">
      <c r="A3" s="87" t="s">
        <v>112</v>
      </c>
      <c r="B3" s="87">
        <v>32.1</v>
      </c>
      <c r="C3" s="131">
        <f t="shared" ref="C3:C13" si="0">D3/B3</f>
        <v>3.0249221183800619</v>
      </c>
      <c r="D3" s="135">
        <v>97.1</v>
      </c>
      <c r="F3" s="132"/>
    </row>
    <row r="4" spans="1:10">
      <c r="A4" s="87" t="s">
        <v>113</v>
      </c>
      <c r="B4" s="87">
        <v>33.299999999999997</v>
      </c>
      <c r="C4" s="131">
        <f t="shared" si="0"/>
        <v>2.8738738738738743</v>
      </c>
      <c r="D4" s="135">
        <v>95.7</v>
      </c>
      <c r="F4" s="132"/>
    </row>
    <row r="5" spans="1:10">
      <c r="A5" s="87" t="s">
        <v>114</v>
      </c>
      <c r="B5" s="87">
        <v>33.9</v>
      </c>
      <c r="C5" s="131">
        <f t="shared" si="0"/>
        <v>3.3893805309734515</v>
      </c>
      <c r="D5" s="135">
        <v>114.9</v>
      </c>
      <c r="F5" s="132"/>
    </row>
    <row r="6" spans="1:10">
      <c r="A6" s="87" t="s">
        <v>115</v>
      </c>
      <c r="B6" s="190">
        <v>35.15</v>
      </c>
      <c r="C6" s="131">
        <f t="shared" si="0"/>
        <v>3.5106685633001424</v>
      </c>
      <c r="D6" s="135">
        <v>123.4</v>
      </c>
      <c r="F6" s="132"/>
    </row>
    <row r="7" spans="1:10">
      <c r="A7" s="87" t="s">
        <v>116</v>
      </c>
      <c r="B7" s="87">
        <v>35.9</v>
      </c>
      <c r="C7" s="131">
        <f t="shared" si="0"/>
        <v>3.3565459610027855</v>
      </c>
      <c r="D7" s="135">
        <v>120.5</v>
      </c>
      <c r="F7" s="132"/>
    </row>
    <row r="8" spans="1:10">
      <c r="A8" s="87" t="s">
        <v>117</v>
      </c>
      <c r="B8" s="87">
        <v>36.9</v>
      </c>
      <c r="C8" s="131">
        <f t="shared" si="0"/>
        <v>3.4823848238482387</v>
      </c>
      <c r="D8" s="135">
        <v>128.5</v>
      </c>
      <c r="F8" s="132"/>
    </row>
    <row r="9" spans="1:10">
      <c r="A9" s="87" t="s">
        <v>118</v>
      </c>
      <c r="B9" s="87">
        <v>39.5</v>
      </c>
      <c r="C9" s="131">
        <f t="shared" si="0"/>
        <v>3.5316455696202533</v>
      </c>
      <c r="D9" s="135">
        <v>139.5</v>
      </c>
      <c r="F9" s="132"/>
    </row>
    <row r="10" spans="1:10">
      <c r="A10" s="87" t="s">
        <v>34</v>
      </c>
      <c r="B10" s="87">
        <v>41.6</v>
      </c>
      <c r="C10" s="131">
        <f t="shared" si="0"/>
        <v>3.1370192307692308</v>
      </c>
      <c r="D10" s="135">
        <v>130.5</v>
      </c>
      <c r="F10" s="132"/>
    </row>
    <row r="11" spans="1:10">
      <c r="A11" s="87" t="s">
        <v>52</v>
      </c>
      <c r="B11" s="87">
        <v>44.3</v>
      </c>
      <c r="C11" s="131">
        <f t="shared" si="0"/>
        <v>3.6117381489841991</v>
      </c>
      <c r="D11" s="135">
        <v>160</v>
      </c>
      <c r="F11" s="132"/>
    </row>
    <row r="12" spans="1:10">
      <c r="A12" s="87" t="s">
        <v>157</v>
      </c>
      <c r="B12" s="87">
        <v>45.6</v>
      </c>
      <c r="C12" s="131">
        <f t="shared" si="0"/>
        <v>3.5745614035087718</v>
      </c>
      <c r="D12" s="139">
        <v>163</v>
      </c>
    </row>
    <row r="13" spans="1:10">
      <c r="A13" s="87" t="s">
        <v>211</v>
      </c>
      <c r="B13" s="87">
        <v>45.6</v>
      </c>
      <c r="C13" s="131">
        <f t="shared" si="0"/>
        <v>3.5307017543859649</v>
      </c>
      <c r="D13" s="133">
        <v>161</v>
      </c>
    </row>
    <row r="14" spans="1:10">
      <c r="A14" s="87"/>
      <c r="B14" s="87"/>
      <c r="D14" s="133"/>
    </row>
    <row r="15" spans="1:10">
      <c r="A15" s="87"/>
      <c r="B15" s="87"/>
      <c r="D15" s="133"/>
    </row>
    <row r="16" spans="1:10">
      <c r="A16" s="87"/>
      <c r="B16" s="87"/>
      <c r="D16" s="133"/>
    </row>
    <row r="17" spans="1:4">
      <c r="A17" s="87"/>
      <c r="B17" s="87"/>
      <c r="D17" s="133"/>
    </row>
    <row r="18" spans="1:4">
      <c r="A18" s="87"/>
      <c r="B18" s="87"/>
      <c r="D18" s="133"/>
    </row>
    <row r="19" spans="1:4">
      <c r="A19" s="87"/>
      <c r="B19" s="87"/>
      <c r="D19" s="133"/>
    </row>
    <row r="20" spans="1:4">
      <c r="A20" s="87"/>
      <c r="B20" s="87"/>
      <c r="D20" s="133"/>
    </row>
    <row r="21" spans="1:4">
      <c r="A21" s="87"/>
      <c r="B21" s="87"/>
      <c r="D21" s="133"/>
    </row>
    <row r="22" spans="1:4">
      <c r="A22" s="87"/>
      <c r="B22" s="87"/>
      <c r="D22" s="133"/>
    </row>
    <row r="23" spans="1:4">
      <c r="A23" s="87"/>
      <c r="B23" s="87"/>
      <c r="D23" s="133"/>
    </row>
    <row r="24" spans="1:4">
      <c r="A24" s="87"/>
      <c r="B24" s="87"/>
      <c r="D24" s="133"/>
    </row>
    <row r="25" spans="1:4">
      <c r="A25" s="87"/>
      <c r="B25" s="87"/>
      <c r="D25" s="133"/>
    </row>
    <row r="26" spans="1:4">
      <c r="A26" s="134"/>
      <c r="B26" s="134"/>
      <c r="D26" s="134"/>
    </row>
    <row r="27" spans="1:4">
      <c r="A27" s="134"/>
      <c r="B27" s="134"/>
      <c r="D27" s="134"/>
    </row>
    <row r="28" spans="1:4">
      <c r="A28" s="134"/>
      <c r="B28" s="134"/>
      <c r="D28" s="134"/>
    </row>
    <row r="29" spans="1:4">
      <c r="A29" s="134"/>
      <c r="B29" s="134"/>
      <c r="D29" s="134"/>
    </row>
    <row r="30" spans="1:4">
      <c r="A30" s="134"/>
      <c r="B30" s="134"/>
      <c r="D30" s="134"/>
    </row>
    <row r="31" spans="1:4">
      <c r="A31" s="134"/>
      <c r="B31" s="134"/>
      <c r="D31" s="134"/>
    </row>
    <row r="32" spans="1:4">
      <c r="A32" s="134"/>
      <c r="B32" s="134"/>
      <c r="D32" s="134"/>
    </row>
    <row r="33" spans="1:4">
      <c r="A33" s="134"/>
      <c r="B33" s="134"/>
      <c r="D33" s="134"/>
    </row>
    <row r="34" spans="1:4">
      <c r="A34" s="134"/>
      <c r="B34" s="134"/>
      <c r="D34" s="134"/>
    </row>
    <row r="35" spans="1:4">
      <c r="A35" s="134"/>
      <c r="B35" s="134"/>
      <c r="D35" s="134"/>
    </row>
    <row r="36" spans="1:4">
      <c r="A36" s="134"/>
      <c r="B36" s="134"/>
      <c r="D36" s="134"/>
    </row>
    <row r="37" spans="1:4">
      <c r="A37" s="134"/>
      <c r="B37" s="134"/>
      <c r="D37" s="134"/>
    </row>
    <row r="38" spans="1:4">
      <c r="A38" s="134"/>
      <c r="B38" s="134"/>
      <c r="D38" s="134"/>
    </row>
    <row r="39" spans="1:4">
      <c r="A39" s="134"/>
      <c r="B39" s="134"/>
      <c r="D39" s="134"/>
    </row>
    <row r="40" spans="1:4">
      <c r="A40" s="134"/>
      <c r="B40" s="134"/>
      <c r="D40" s="134"/>
    </row>
    <row r="41" spans="1:4">
      <c r="A41" s="134"/>
      <c r="B41" s="134"/>
      <c r="D41" s="134"/>
    </row>
    <row r="42" spans="1:4">
      <c r="A42" s="134"/>
      <c r="B42" s="134"/>
      <c r="D42" s="134"/>
    </row>
    <row r="43" spans="1:4">
      <c r="A43" s="134"/>
      <c r="B43" s="134"/>
      <c r="D43" s="134"/>
    </row>
    <row r="44" spans="1:4">
      <c r="A44" s="134"/>
      <c r="B44" s="134"/>
      <c r="D44" s="134"/>
    </row>
    <row r="45" spans="1:4">
      <c r="A45" s="134"/>
      <c r="B45" s="134"/>
      <c r="D45" s="134"/>
    </row>
    <row r="46" spans="1:4">
      <c r="A46" s="134"/>
      <c r="B46" s="134"/>
      <c r="D46" s="134"/>
    </row>
    <row r="47" spans="1:4">
      <c r="A47" s="134"/>
      <c r="B47" s="134"/>
      <c r="D47" s="134"/>
    </row>
    <row r="48" spans="1:4">
      <c r="A48" s="134"/>
      <c r="B48" s="134"/>
      <c r="D48" s="134"/>
    </row>
    <row r="49" spans="1:4">
      <c r="A49" s="134"/>
      <c r="B49" s="134"/>
      <c r="D49" s="134"/>
    </row>
    <row r="50" spans="1:4">
      <c r="A50" s="134"/>
      <c r="B50" s="134"/>
      <c r="D50" s="134"/>
    </row>
    <row r="51" spans="1:4">
      <c r="A51" s="134"/>
      <c r="B51" s="134"/>
      <c r="D51" s="134"/>
    </row>
    <row r="52" spans="1:4">
      <c r="A52" s="134"/>
      <c r="B52" s="134"/>
      <c r="D52" s="134"/>
    </row>
    <row r="53" spans="1:4">
      <c r="A53" s="134"/>
      <c r="B53" s="134"/>
      <c r="D53" s="134"/>
    </row>
    <row r="54" spans="1:4">
      <c r="A54" s="134"/>
      <c r="B54" s="134"/>
      <c r="D54" s="134"/>
    </row>
    <row r="55" spans="1:4">
      <c r="A55" s="134"/>
      <c r="B55" s="134"/>
      <c r="D55" s="134"/>
    </row>
    <row r="56" spans="1:4">
      <c r="A56" s="134"/>
      <c r="B56" s="134"/>
      <c r="D56" s="134"/>
    </row>
    <row r="57" spans="1:4">
      <c r="A57" s="134"/>
      <c r="B57" s="134"/>
      <c r="D57" s="134"/>
    </row>
    <row r="58" spans="1:4">
      <c r="A58" s="134"/>
      <c r="B58" s="134"/>
      <c r="D58" s="134"/>
    </row>
    <row r="59" spans="1:4">
      <c r="A59" s="134"/>
      <c r="B59" s="134"/>
      <c r="D59" s="134"/>
    </row>
    <row r="60" spans="1:4">
      <c r="A60" s="134"/>
      <c r="B60" s="134"/>
      <c r="D60" s="134"/>
    </row>
    <row r="61" spans="1:4">
      <c r="A61" s="134"/>
      <c r="B61" s="134"/>
      <c r="D61" s="134"/>
    </row>
    <row r="62" spans="1:4">
      <c r="A62" s="134"/>
      <c r="B62" s="134"/>
      <c r="D62" s="134"/>
    </row>
    <row r="63" spans="1:4">
      <c r="A63" s="134"/>
      <c r="B63" s="134"/>
      <c r="D63" s="134"/>
    </row>
    <row r="64" spans="1:4">
      <c r="A64" s="134"/>
      <c r="B64" s="134"/>
      <c r="D64" s="134"/>
    </row>
    <row r="65" spans="1:4">
      <c r="A65" s="134"/>
      <c r="B65" s="134"/>
      <c r="D65" s="134"/>
    </row>
    <row r="66" spans="1:4">
      <c r="A66" s="134"/>
      <c r="B66" s="134"/>
      <c r="D66" s="134"/>
    </row>
    <row r="67" spans="1:4">
      <c r="A67" s="134"/>
      <c r="B67" s="134"/>
      <c r="D67" s="134"/>
    </row>
    <row r="68" spans="1:4">
      <c r="A68" s="134"/>
      <c r="B68" s="134"/>
      <c r="D68" s="134"/>
    </row>
    <row r="69" spans="1:4">
      <c r="A69" s="134"/>
      <c r="B69" s="134"/>
      <c r="D69" s="134"/>
    </row>
    <row r="70" spans="1:4">
      <c r="A70" s="134"/>
      <c r="B70" s="134"/>
      <c r="D70" s="134"/>
    </row>
    <row r="71" spans="1:4">
      <c r="A71" s="134"/>
      <c r="B71" s="134"/>
      <c r="D71" s="134"/>
    </row>
    <row r="72" spans="1:4">
      <c r="A72" s="134"/>
      <c r="B72" s="134"/>
      <c r="D72" s="134"/>
    </row>
    <row r="73" spans="1:4">
      <c r="A73" s="134"/>
      <c r="B73" s="134"/>
      <c r="D73" s="134"/>
    </row>
    <row r="74" spans="1:4">
      <c r="A74" s="134"/>
      <c r="B74" s="134"/>
      <c r="D74" s="134"/>
    </row>
    <row r="75" spans="1:4">
      <c r="A75" s="134"/>
      <c r="B75" s="134"/>
      <c r="D75" s="134"/>
    </row>
    <row r="76" spans="1:4">
      <c r="A76" s="134"/>
      <c r="B76" s="134"/>
      <c r="D76" s="134"/>
    </row>
    <row r="77" spans="1:4">
      <c r="A77" s="134"/>
      <c r="B77" s="134"/>
      <c r="D77" s="134"/>
    </row>
    <row r="78" spans="1:4">
      <c r="A78" s="134"/>
      <c r="B78" s="134"/>
      <c r="D78" s="134"/>
    </row>
    <row r="79" spans="1:4">
      <c r="A79" s="134"/>
      <c r="B79" s="134"/>
      <c r="D79" s="134"/>
    </row>
    <row r="80" spans="1:4">
      <c r="A80" s="134"/>
      <c r="B80" s="134"/>
      <c r="D80" s="134"/>
    </row>
    <row r="81" spans="1:4">
      <c r="A81" s="134"/>
      <c r="B81" s="134"/>
      <c r="D81" s="134"/>
    </row>
    <row r="82" spans="1:4">
      <c r="A82" s="134"/>
      <c r="B82" s="134"/>
      <c r="D82" s="134"/>
    </row>
    <row r="83" spans="1:4">
      <c r="A83" s="134"/>
      <c r="B83" s="134"/>
      <c r="D83" s="134"/>
    </row>
    <row r="84" spans="1:4">
      <c r="A84" s="134"/>
      <c r="B84" s="134"/>
      <c r="D84" s="134"/>
    </row>
    <row r="85" spans="1:4">
      <c r="A85" s="134"/>
      <c r="B85" s="134"/>
      <c r="D85" s="134"/>
    </row>
    <row r="86" spans="1:4">
      <c r="A86" s="134"/>
      <c r="B86" s="134"/>
      <c r="D86" s="134"/>
    </row>
    <row r="87" spans="1:4">
      <c r="A87" s="134"/>
      <c r="B87" s="134"/>
      <c r="D87" s="134"/>
    </row>
    <row r="88" spans="1:4">
      <c r="A88" s="134"/>
      <c r="B88" s="134"/>
      <c r="D88" s="13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BBB43-873E-46D3-987E-ADBB9C51E018}">
  <dimension ref="A1:O32"/>
  <sheetViews>
    <sheetView workbookViewId="0"/>
  </sheetViews>
  <sheetFormatPr defaultColWidth="8.88671875" defaultRowHeight="14.4"/>
  <cols>
    <col min="1" max="13" width="8.88671875" style="138"/>
    <col min="14" max="14" width="11.5546875" style="138" bestFit="1" customWidth="1"/>
    <col min="15" max="15" width="10.6640625" style="138" bestFit="1" customWidth="1"/>
    <col min="16" max="16384" width="8.88671875" style="138"/>
  </cols>
  <sheetData>
    <row r="1" spans="1:5">
      <c r="A1" s="202" t="s">
        <v>168</v>
      </c>
      <c r="B1" s="202" t="s">
        <v>118</v>
      </c>
      <c r="C1" s="202" t="s">
        <v>34</v>
      </c>
      <c r="D1" s="202" t="s">
        <v>52</v>
      </c>
      <c r="E1" s="202" t="s">
        <v>156</v>
      </c>
    </row>
    <row r="2" spans="1:5">
      <c r="A2" s="191" t="s">
        <v>158</v>
      </c>
      <c r="B2" s="200">
        <v>367.11</v>
      </c>
      <c r="C2" s="200">
        <v>325.43</v>
      </c>
      <c r="D2" s="200">
        <v>468.67499999999995</v>
      </c>
      <c r="E2" s="200">
        <v>416.16</v>
      </c>
    </row>
    <row r="3" spans="1:5">
      <c r="A3" s="138" t="s">
        <v>159</v>
      </c>
      <c r="B3" s="200">
        <v>387.83</v>
      </c>
      <c r="C3" s="200">
        <v>358.73</v>
      </c>
      <c r="D3" s="200">
        <v>436.74999999999994</v>
      </c>
      <c r="E3" s="200">
        <v>464.27</v>
      </c>
    </row>
    <row r="4" spans="1:5">
      <c r="A4" s="138" t="s">
        <v>160</v>
      </c>
      <c r="B4" s="200">
        <v>396.68</v>
      </c>
      <c r="C4" s="200">
        <v>399.53</v>
      </c>
      <c r="D4" s="200">
        <v>462.85</v>
      </c>
      <c r="E4" s="200"/>
    </row>
    <row r="5" spans="1:5">
      <c r="A5" s="138" t="s">
        <v>161</v>
      </c>
      <c r="B5" s="200">
        <v>439.24</v>
      </c>
      <c r="C5" s="200">
        <v>421.21</v>
      </c>
      <c r="D5" s="200">
        <v>482.40000000000003</v>
      </c>
      <c r="E5" s="200"/>
    </row>
    <row r="6" spans="1:5">
      <c r="A6" s="138" t="s">
        <v>162</v>
      </c>
      <c r="B6" s="200">
        <v>427.28</v>
      </c>
      <c r="C6" s="200">
        <v>460.45</v>
      </c>
      <c r="D6" s="200">
        <v>500.52499999999998</v>
      </c>
      <c r="E6" s="200"/>
    </row>
    <row r="7" spans="1:5">
      <c r="A7" s="138" t="s">
        <v>163</v>
      </c>
      <c r="B7" s="200">
        <v>410.02</v>
      </c>
      <c r="C7" s="200">
        <v>493.97500000000002</v>
      </c>
      <c r="D7" s="200">
        <v>484.4</v>
      </c>
      <c r="E7" s="200"/>
    </row>
    <row r="8" spans="1:5">
      <c r="A8" s="138" t="s">
        <v>164</v>
      </c>
      <c r="B8" s="200">
        <v>413.36</v>
      </c>
      <c r="C8" s="200">
        <v>475.35999999999996</v>
      </c>
      <c r="D8" s="200">
        <v>457.25</v>
      </c>
      <c r="E8" s="200"/>
    </row>
    <row r="9" spans="1:5">
      <c r="A9" s="138" t="s">
        <v>47</v>
      </c>
      <c r="B9" s="200">
        <v>421.03</v>
      </c>
      <c r="C9" s="200">
        <v>441.27499999999998</v>
      </c>
      <c r="D9" s="200">
        <v>423.57499999999999</v>
      </c>
      <c r="E9" s="200"/>
    </row>
    <row r="10" spans="1:5">
      <c r="A10" s="138" t="s">
        <v>165</v>
      </c>
      <c r="B10" s="200">
        <v>378.18</v>
      </c>
      <c r="C10" s="200">
        <v>445.92499999999995</v>
      </c>
      <c r="D10" s="200">
        <v>413.46000000000004</v>
      </c>
      <c r="E10" s="200"/>
    </row>
    <row r="11" spans="1:5">
      <c r="A11" s="138" t="s">
        <v>50</v>
      </c>
      <c r="B11" s="200">
        <v>365.23</v>
      </c>
      <c r="C11" s="200">
        <v>467.87</v>
      </c>
      <c r="D11" s="200">
        <v>443.15</v>
      </c>
      <c r="E11" s="200"/>
    </row>
    <row r="12" spans="1:5">
      <c r="A12" s="138" t="s">
        <v>166</v>
      </c>
      <c r="B12" s="200">
        <v>358.21</v>
      </c>
      <c r="C12" s="200">
        <v>510.90000000000009</v>
      </c>
      <c r="D12" s="200">
        <v>438.8</v>
      </c>
      <c r="E12" s="200"/>
    </row>
    <row r="13" spans="1:5">
      <c r="A13" s="138" t="s">
        <v>167</v>
      </c>
      <c r="B13" s="200">
        <v>343.55</v>
      </c>
      <c r="C13" s="200">
        <v>473.93999999999994</v>
      </c>
      <c r="D13" s="201">
        <v>411.07</v>
      </c>
      <c r="E13" s="200"/>
    </row>
    <row r="14" spans="1:5">
      <c r="A14" s="191"/>
      <c r="B14" s="192"/>
      <c r="C14" s="192"/>
      <c r="D14" s="193"/>
    </row>
    <row r="15" spans="1:5">
      <c r="A15" s="191"/>
      <c r="B15" s="192"/>
      <c r="C15" s="192"/>
      <c r="D15" s="193"/>
    </row>
    <row r="16" spans="1:5">
      <c r="B16" s="192"/>
      <c r="C16" s="192"/>
      <c r="D16" s="194"/>
    </row>
    <row r="19" spans="1:15">
      <c r="N19" s="136"/>
      <c r="O19" s="137"/>
    </row>
    <row r="20" spans="1:15">
      <c r="N20" s="136"/>
      <c r="O20" s="137"/>
    </row>
    <row r="21" spans="1:15">
      <c r="N21" s="136"/>
      <c r="O21" s="137"/>
    </row>
    <row r="22" spans="1:15">
      <c r="N22" s="136"/>
      <c r="O22" s="137"/>
    </row>
    <row r="23" spans="1:15">
      <c r="N23" s="136"/>
      <c r="O23" s="137"/>
    </row>
    <row r="24" spans="1:15">
      <c r="N24" s="136"/>
    </row>
    <row r="31" spans="1:15">
      <c r="A31" s="191"/>
    </row>
    <row r="32" spans="1:15">
      <c r="A32" s="191"/>
    </row>
  </sheetData>
  <phoneticPr fontId="40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7E63-C34C-48D2-972A-C0CD1AB29DFC}">
  <dimension ref="A1:Q25"/>
  <sheetViews>
    <sheetView zoomScale="120" zoomScaleNormal="120" workbookViewId="0">
      <selection activeCell="A2" sqref="A2"/>
    </sheetView>
  </sheetViews>
  <sheetFormatPr defaultRowHeight="13.2"/>
  <cols>
    <col min="1" max="1" width="11.33203125" customWidth="1"/>
    <col min="3" max="3" width="12.44140625" customWidth="1"/>
  </cols>
  <sheetData>
    <row r="1" spans="1:17">
      <c r="A1" s="158"/>
      <c r="B1" s="159" t="s">
        <v>177</v>
      </c>
      <c r="C1" s="160"/>
      <c r="D1" s="160"/>
      <c r="E1" s="161" t="s">
        <v>178</v>
      </c>
      <c r="F1" s="160"/>
      <c r="G1" s="162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26.4">
      <c r="A2" s="104" t="s">
        <v>155</v>
      </c>
      <c r="B2" s="163" t="s">
        <v>179</v>
      </c>
      <c r="C2" s="164" t="s">
        <v>180</v>
      </c>
      <c r="D2" s="164" t="s">
        <v>181</v>
      </c>
      <c r="E2" s="165" t="s">
        <v>182</v>
      </c>
      <c r="F2" s="166" t="s">
        <v>183</v>
      </c>
      <c r="G2" s="167" t="s">
        <v>184</v>
      </c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>
      <c r="A3" s="168" t="s">
        <v>112</v>
      </c>
      <c r="B3" s="169">
        <v>1.2998209999999997</v>
      </c>
      <c r="C3" s="39">
        <v>0.19147299999999998</v>
      </c>
      <c r="D3" s="170">
        <v>1.7420999999999999E-2</v>
      </c>
      <c r="E3" s="171">
        <v>5.0385899999999992</v>
      </c>
      <c r="F3" s="172">
        <v>0.93528</v>
      </c>
      <c r="G3" s="173">
        <v>1.0308900000000001</v>
      </c>
      <c r="H3" s="98"/>
      <c r="I3" s="126"/>
      <c r="J3" s="98"/>
      <c r="K3" s="98"/>
      <c r="L3" s="98"/>
      <c r="M3" s="98"/>
      <c r="N3" s="98"/>
      <c r="O3" s="98"/>
      <c r="P3" s="98"/>
      <c r="Q3" s="98"/>
    </row>
    <row r="4" spans="1:17">
      <c r="A4" s="168" t="s">
        <v>113</v>
      </c>
      <c r="B4" s="169">
        <v>1.4569419999999995</v>
      </c>
      <c r="C4" s="39">
        <v>0.20571900000000001</v>
      </c>
      <c r="D4" s="170">
        <v>1.7797E-2</v>
      </c>
      <c r="E4" s="171">
        <v>5.67021</v>
      </c>
      <c r="F4" s="172">
        <v>1.00807</v>
      </c>
      <c r="G4" s="173">
        <v>1.2059300000000002</v>
      </c>
      <c r="H4" s="98"/>
      <c r="I4" s="126"/>
      <c r="J4" s="98"/>
      <c r="K4" s="98"/>
      <c r="L4" s="98"/>
      <c r="M4" s="98"/>
      <c r="N4" s="98"/>
      <c r="O4" s="98"/>
      <c r="P4" s="98"/>
      <c r="Q4" s="98"/>
    </row>
    <row r="5" spans="1:17">
      <c r="A5" s="168" t="s">
        <v>114</v>
      </c>
      <c r="B5" s="169">
        <v>1.583661</v>
      </c>
      <c r="C5" s="39">
        <v>0.25945299999999999</v>
      </c>
      <c r="D5" s="170">
        <v>2.4337999999999999E-2</v>
      </c>
      <c r="E5" s="171">
        <v>6.2002999999999995</v>
      </c>
      <c r="F5" s="172">
        <v>1.29437</v>
      </c>
      <c r="G5" s="173">
        <v>1.5197100000000001</v>
      </c>
      <c r="H5" s="98"/>
      <c r="I5" s="126"/>
      <c r="J5" s="98"/>
      <c r="K5" s="98"/>
      <c r="L5" s="98"/>
      <c r="M5" s="98"/>
      <c r="N5" s="98"/>
      <c r="O5" s="98"/>
      <c r="P5" s="98"/>
      <c r="Q5" s="98"/>
    </row>
    <row r="6" spans="1:17">
      <c r="A6" s="168" t="s">
        <v>115</v>
      </c>
      <c r="B6" s="169">
        <v>1.8015509999999997</v>
      </c>
      <c r="C6" s="39">
        <v>0.25287200000000004</v>
      </c>
      <c r="D6" s="170">
        <v>2.3764E-2</v>
      </c>
      <c r="E6" s="171">
        <v>7.2836900000000009</v>
      </c>
      <c r="F6" s="172">
        <v>1.0798399999999999</v>
      </c>
      <c r="G6" s="173">
        <v>1.99108</v>
      </c>
      <c r="H6" s="98"/>
      <c r="I6" s="126"/>
      <c r="J6" s="98"/>
      <c r="K6" s="98"/>
      <c r="L6" s="98"/>
      <c r="M6" s="98"/>
      <c r="N6" s="98"/>
      <c r="O6" s="98"/>
      <c r="P6" s="98"/>
      <c r="Q6" s="98"/>
    </row>
    <row r="7" spans="1:17">
      <c r="A7" s="168" t="s">
        <v>116</v>
      </c>
      <c r="B7" s="169">
        <v>1.8187099999999998</v>
      </c>
      <c r="C7" s="39">
        <v>0.47491600000000006</v>
      </c>
      <c r="D7" s="170">
        <v>2.3764E-2</v>
      </c>
      <c r="E7" s="171">
        <v>7.8633000000000015</v>
      </c>
      <c r="F7" s="172">
        <v>0.65534000000000003</v>
      </c>
      <c r="G7" s="173">
        <v>1.8695500000000003</v>
      </c>
      <c r="H7" s="98"/>
      <c r="I7" s="126"/>
      <c r="J7" s="98"/>
      <c r="K7" s="98"/>
      <c r="L7" s="98"/>
      <c r="M7" s="98"/>
      <c r="N7" s="98"/>
      <c r="O7" s="98"/>
      <c r="P7" s="98"/>
      <c r="Q7" s="98"/>
    </row>
    <row r="8" spans="1:17">
      <c r="A8" s="168" t="s">
        <v>117</v>
      </c>
      <c r="B8" s="169">
        <v>1.743117</v>
      </c>
      <c r="C8" s="39">
        <v>0.54515699999999989</v>
      </c>
      <c r="D8" s="170">
        <v>3.5150999999999995E-2</v>
      </c>
      <c r="E8" s="171">
        <v>7.8578199999999994</v>
      </c>
      <c r="F8" s="172">
        <v>1.0263900000000001</v>
      </c>
      <c r="G8" s="173">
        <v>1.56914</v>
      </c>
      <c r="H8" s="98"/>
      <c r="I8" s="126"/>
      <c r="J8" s="98"/>
      <c r="K8" s="98"/>
      <c r="L8" s="98"/>
      <c r="M8" s="98"/>
      <c r="N8" s="98"/>
      <c r="O8" s="98"/>
      <c r="P8" s="98"/>
      <c r="Q8" s="98"/>
    </row>
    <row r="9" spans="1:17">
      <c r="A9" s="168" t="s">
        <v>118</v>
      </c>
      <c r="B9" s="169">
        <v>1.667287</v>
      </c>
      <c r="C9" s="39">
        <v>0.65309200000000012</v>
      </c>
      <c r="D9" s="170">
        <v>5.8293999999999999E-2</v>
      </c>
      <c r="E9" s="171">
        <v>8.7099619999999991</v>
      </c>
      <c r="F9" s="172">
        <v>0.57804299999999997</v>
      </c>
      <c r="G9" s="173">
        <v>2.2562319999999998</v>
      </c>
      <c r="H9" s="98"/>
      <c r="I9" s="126"/>
      <c r="J9" s="98"/>
      <c r="K9" s="98"/>
      <c r="L9" s="98"/>
      <c r="M9" s="98"/>
      <c r="N9" s="98"/>
      <c r="O9" s="98"/>
      <c r="P9" s="98"/>
      <c r="Q9" s="98"/>
    </row>
    <row r="10" spans="1:17">
      <c r="A10" s="168" t="s">
        <v>34</v>
      </c>
      <c r="B10" s="169">
        <v>1.6428390000000004</v>
      </c>
      <c r="C10" s="39">
        <v>1.3600460000000001</v>
      </c>
      <c r="D10" s="170">
        <v>0.165078</v>
      </c>
      <c r="E10" s="171">
        <v>10.3787537128</v>
      </c>
      <c r="F10" s="172">
        <v>1.177937888</v>
      </c>
      <c r="G10" s="173">
        <v>3.027606843</v>
      </c>
      <c r="H10" s="98"/>
      <c r="I10" s="126"/>
      <c r="J10" s="98"/>
      <c r="K10" s="98"/>
      <c r="L10" s="98"/>
      <c r="M10" s="98"/>
      <c r="N10" s="98"/>
      <c r="O10" s="98"/>
      <c r="P10" s="98"/>
      <c r="Q10" s="98"/>
    </row>
    <row r="11" spans="1:17">
      <c r="A11" s="174" t="s">
        <v>52</v>
      </c>
      <c r="B11" s="186">
        <v>1.7014</v>
      </c>
      <c r="C11" s="39">
        <v>2.2850000000000001</v>
      </c>
      <c r="D11" s="187">
        <v>0.26825500000000002</v>
      </c>
      <c r="E11" s="186">
        <v>12.490714000000001</v>
      </c>
      <c r="F11" s="187">
        <f>2.912522</f>
        <v>2.9125220000000001</v>
      </c>
      <c r="G11" s="188">
        <v>3.6874060000000002</v>
      </c>
      <c r="H11" s="98"/>
      <c r="I11" s="126"/>
      <c r="J11" s="98"/>
      <c r="K11" s="98"/>
      <c r="L11" s="98"/>
      <c r="M11" s="98"/>
      <c r="N11" s="98"/>
      <c r="O11" s="98"/>
      <c r="P11" s="98"/>
      <c r="Q11" s="98"/>
    </row>
    <row r="12" spans="1:17">
      <c r="A12" s="175"/>
      <c r="B12" s="176"/>
      <c r="C12" s="176"/>
      <c r="D12" s="176"/>
      <c r="E12" s="176"/>
      <c r="F12" s="176"/>
      <c r="G12" s="176"/>
      <c r="H12" s="98"/>
      <c r="I12" s="126"/>
      <c r="J12" s="98"/>
      <c r="K12" s="98"/>
      <c r="L12" s="98"/>
      <c r="M12" s="98"/>
      <c r="N12" s="98"/>
      <c r="O12" s="98"/>
      <c r="P12" s="98"/>
      <c r="Q12" s="98"/>
    </row>
    <row r="13" spans="1:17">
      <c r="A13" s="177"/>
      <c r="B13" s="98"/>
      <c r="C13" s="98"/>
      <c r="D13" s="98"/>
      <c r="E13" s="98"/>
      <c r="F13" s="126"/>
      <c r="G13" s="126"/>
      <c r="H13" s="98"/>
      <c r="I13" s="126"/>
      <c r="J13" s="98"/>
      <c r="K13" s="98"/>
      <c r="L13" s="98"/>
      <c r="M13" s="98"/>
      <c r="N13" s="98"/>
      <c r="O13" s="98"/>
      <c r="P13" s="98"/>
      <c r="Q13" s="98"/>
    </row>
    <row r="14" spans="1:17">
      <c r="A14" s="178"/>
      <c r="B14" s="126"/>
      <c r="C14" s="126"/>
      <c r="D14" s="126"/>
      <c r="E14" s="126"/>
      <c r="F14" s="126"/>
      <c r="G14" s="170"/>
      <c r="H14" s="98"/>
      <c r="I14" s="126"/>
      <c r="J14" s="98"/>
      <c r="K14" s="98"/>
      <c r="L14" s="98"/>
      <c r="M14" s="98"/>
      <c r="N14" s="98"/>
      <c r="O14" s="98"/>
      <c r="P14" s="98"/>
      <c r="Q14" s="98"/>
    </row>
    <row r="15" spans="1:17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7">
      <c r="A16" s="98"/>
      <c r="B16" s="179"/>
      <c r="C16" s="179"/>
      <c r="D16" s="179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7">
      <c r="A17" s="98"/>
      <c r="B17" s="179"/>
      <c r="C17" s="179"/>
      <c r="D17" s="179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>
      <c r="A18" s="98"/>
      <c r="B18" s="179"/>
      <c r="C18" s="179"/>
      <c r="D18" s="179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>
      <c r="A19" s="98"/>
      <c r="B19" s="179"/>
      <c r="C19" s="179"/>
      <c r="D19" s="179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7">
      <c r="A20" s="98"/>
      <c r="B20" s="179"/>
      <c r="C20" s="179"/>
      <c r="D20" s="179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7">
      <c r="A21" s="98"/>
      <c r="B21" s="179"/>
      <c r="C21" s="179"/>
      <c r="D21" s="179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7">
      <c r="A22" s="98"/>
      <c r="B22" s="179"/>
      <c r="C22" s="179"/>
      <c r="D22" s="179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7">
      <c r="A23" s="98"/>
      <c r="B23" s="179"/>
      <c r="C23" s="179"/>
      <c r="D23" s="179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7">
      <c r="A24" s="98"/>
      <c r="B24" s="179"/>
      <c r="C24" s="179"/>
      <c r="D24" s="179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7">
      <c r="A25" s="98"/>
      <c r="B25" s="179"/>
      <c r="C25" s="179"/>
      <c r="D25" s="179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4819B-FEC1-4354-97C4-F62734BEF370}">
  <dimension ref="A1:P23"/>
  <sheetViews>
    <sheetView workbookViewId="0"/>
  </sheetViews>
  <sheetFormatPr defaultRowHeight="13.2"/>
  <cols>
    <col min="1" max="1" width="14" customWidth="1"/>
    <col min="3" max="3" width="9.109375" bestFit="1" customWidth="1"/>
    <col min="4" max="4" width="20.6640625" customWidth="1"/>
  </cols>
  <sheetData>
    <row r="1" spans="1:16" ht="26.4">
      <c r="A1" s="152" t="s">
        <v>155</v>
      </c>
      <c r="B1" s="152" t="s">
        <v>15</v>
      </c>
      <c r="C1" s="152" t="s">
        <v>185</v>
      </c>
      <c r="D1" s="152" t="s">
        <v>186</v>
      </c>
      <c r="E1" s="152" t="s">
        <v>30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6">
      <c r="A2" s="180" t="s">
        <v>112</v>
      </c>
      <c r="B2" s="181">
        <v>22.83</v>
      </c>
      <c r="C2" s="181">
        <v>5.04</v>
      </c>
      <c r="D2" s="181">
        <v>13.92</v>
      </c>
      <c r="E2" s="181">
        <v>2.0099999999999998</v>
      </c>
      <c r="F2" s="128"/>
      <c r="G2" s="128"/>
      <c r="H2" s="128"/>
      <c r="I2" s="128"/>
      <c r="J2" s="128"/>
      <c r="K2" s="127"/>
      <c r="L2" s="127"/>
      <c r="M2" s="127"/>
      <c r="N2" s="127"/>
      <c r="O2" s="127"/>
      <c r="P2" s="127"/>
    </row>
    <row r="3" spans="1:16">
      <c r="A3" s="180" t="s">
        <v>113</v>
      </c>
      <c r="B3" s="181">
        <v>24.09</v>
      </c>
      <c r="C3" s="181">
        <v>5.67</v>
      </c>
      <c r="D3" s="181">
        <v>14.49</v>
      </c>
      <c r="E3" s="181">
        <v>2.2400000000000002</v>
      </c>
      <c r="F3" s="128"/>
      <c r="G3" s="128"/>
      <c r="H3" s="128"/>
      <c r="I3" s="128"/>
      <c r="J3" s="128"/>
      <c r="K3" s="127"/>
      <c r="L3" s="127"/>
      <c r="M3" s="127"/>
      <c r="N3" s="127"/>
      <c r="O3" s="127"/>
      <c r="P3" s="127"/>
    </row>
    <row r="4" spans="1:16">
      <c r="A4" s="180" t="s">
        <v>114</v>
      </c>
      <c r="B4" s="181">
        <v>24.13</v>
      </c>
      <c r="C4" s="181">
        <v>6.2</v>
      </c>
      <c r="D4" s="181">
        <v>13.66</v>
      </c>
      <c r="E4" s="181">
        <v>2.56</v>
      </c>
      <c r="F4" s="128"/>
      <c r="G4" s="128"/>
      <c r="H4" s="128"/>
      <c r="I4" s="128"/>
      <c r="J4" s="128"/>
      <c r="K4" s="127"/>
      <c r="L4" s="127"/>
      <c r="M4" s="127"/>
      <c r="N4" s="127"/>
      <c r="O4" s="127"/>
      <c r="P4" s="127"/>
    </row>
    <row r="5" spans="1:16">
      <c r="A5" s="180" t="s">
        <v>115</v>
      </c>
      <c r="B5" s="181">
        <v>25.82</v>
      </c>
      <c r="C5" s="181">
        <v>7.33</v>
      </c>
      <c r="D5" s="181">
        <v>14.05</v>
      </c>
      <c r="E5" s="181">
        <v>2.44</v>
      </c>
      <c r="F5" s="128"/>
      <c r="G5" s="128"/>
      <c r="H5" s="128"/>
      <c r="I5" s="128"/>
      <c r="J5" s="128"/>
      <c r="K5" s="127"/>
      <c r="L5" s="127"/>
      <c r="M5" s="127"/>
      <c r="N5" s="127"/>
      <c r="O5" s="127"/>
      <c r="P5" s="127"/>
    </row>
    <row r="6" spans="1:16">
      <c r="A6" s="180" t="s">
        <v>116</v>
      </c>
      <c r="B6" s="181">
        <v>26.59</v>
      </c>
      <c r="C6" s="181">
        <v>8.66</v>
      </c>
      <c r="D6" s="181">
        <v>14.21</v>
      </c>
      <c r="E6" s="181">
        <v>1.94</v>
      </c>
      <c r="F6" s="128"/>
      <c r="G6" s="128"/>
      <c r="H6" s="128"/>
      <c r="I6" s="128"/>
      <c r="J6" s="128"/>
      <c r="K6" s="127"/>
      <c r="L6" s="127"/>
      <c r="M6" s="127"/>
      <c r="N6" s="127"/>
      <c r="O6" s="127"/>
      <c r="P6" s="127"/>
    </row>
    <row r="7" spans="1:16">
      <c r="A7" s="180" t="s">
        <v>117</v>
      </c>
      <c r="B7" s="181">
        <v>27.01</v>
      </c>
      <c r="C7" s="181">
        <v>8.66</v>
      </c>
      <c r="D7" s="181">
        <v>13.66</v>
      </c>
      <c r="E7" s="181">
        <v>2.84</v>
      </c>
      <c r="F7" s="128"/>
      <c r="G7" s="128"/>
      <c r="H7" s="128"/>
      <c r="I7" s="128"/>
      <c r="J7" s="128"/>
      <c r="K7" s="127"/>
      <c r="L7" s="127"/>
      <c r="M7" s="127"/>
      <c r="N7" s="127"/>
      <c r="O7" s="127"/>
      <c r="P7" s="127"/>
    </row>
    <row r="8" spans="1:16">
      <c r="A8" s="180" t="s">
        <v>118</v>
      </c>
      <c r="B8" s="181">
        <v>27.18</v>
      </c>
      <c r="C8" s="181">
        <v>8.92</v>
      </c>
      <c r="D8" s="181">
        <v>14.39</v>
      </c>
      <c r="E8" s="181">
        <v>1.73</v>
      </c>
      <c r="F8" s="128"/>
      <c r="G8" s="128"/>
      <c r="H8" s="128"/>
      <c r="I8" s="128"/>
      <c r="J8" s="128"/>
      <c r="K8" s="127"/>
      <c r="L8" s="127"/>
      <c r="M8" s="127"/>
      <c r="N8" s="127"/>
      <c r="O8" s="127"/>
      <c r="P8" s="127"/>
    </row>
    <row r="9" spans="1:16">
      <c r="A9" s="180" t="s">
        <v>34</v>
      </c>
      <c r="B9" s="181">
        <v>28.59</v>
      </c>
      <c r="C9" s="181">
        <v>10.38</v>
      </c>
      <c r="D9" s="181">
        <v>14.45</v>
      </c>
      <c r="E9" s="181">
        <v>1.77</v>
      </c>
      <c r="F9" s="128"/>
      <c r="G9" s="128"/>
      <c r="H9" s="128"/>
      <c r="I9" s="128"/>
      <c r="J9" s="128"/>
      <c r="K9" s="127"/>
      <c r="L9" s="127"/>
      <c r="M9" s="127"/>
      <c r="N9" s="127"/>
      <c r="O9" s="127"/>
      <c r="P9" s="127"/>
    </row>
    <row r="10" spans="1:16">
      <c r="A10" s="180" t="s">
        <v>187</v>
      </c>
      <c r="B10" s="181">
        <v>28.59</v>
      </c>
      <c r="C10" s="181">
        <v>12.49</v>
      </c>
      <c r="D10" s="113">
        <v>14.12</v>
      </c>
      <c r="E10" s="181">
        <v>0.38</v>
      </c>
      <c r="F10" s="128"/>
      <c r="G10" s="128"/>
      <c r="H10" s="128"/>
      <c r="I10" s="128"/>
      <c r="J10" s="128"/>
      <c r="K10" s="127"/>
      <c r="L10" s="127"/>
      <c r="M10" s="127"/>
      <c r="N10" s="127"/>
      <c r="O10" s="127"/>
      <c r="P10" s="127"/>
    </row>
    <row r="11" spans="1:16">
      <c r="A11" s="180" t="s">
        <v>169</v>
      </c>
      <c r="B11" s="181">
        <v>29.03</v>
      </c>
      <c r="C11" s="181">
        <v>12.8</v>
      </c>
      <c r="D11" s="181">
        <v>14.3</v>
      </c>
      <c r="E11" s="181">
        <v>0.35</v>
      </c>
      <c r="F11" s="128"/>
      <c r="G11" s="128"/>
      <c r="H11" s="128"/>
      <c r="I11" s="128"/>
      <c r="J11" s="128"/>
      <c r="K11" s="127"/>
      <c r="L11" s="127"/>
      <c r="M11" s="127"/>
      <c r="N11" s="127"/>
      <c r="O11" s="127"/>
      <c r="P11" s="127"/>
    </row>
    <row r="12" spans="1:16">
      <c r="A12" s="180"/>
      <c r="B12" s="181"/>
      <c r="C12" s="181"/>
      <c r="D12" s="181"/>
      <c r="E12" s="128"/>
      <c r="F12" s="128"/>
      <c r="G12" s="127"/>
      <c r="H12" s="127"/>
      <c r="I12" s="127"/>
      <c r="J12" s="127"/>
      <c r="K12" s="127"/>
      <c r="L12" s="127"/>
      <c r="M12" s="127"/>
      <c r="N12" s="127"/>
      <c r="O12" s="127"/>
      <c r="P12" s="127"/>
    </row>
    <row r="13" spans="1:16">
      <c r="A13" s="180"/>
      <c r="B13" s="181"/>
      <c r="C13" s="181"/>
      <c r="D13" s="181"/>
      <c r="E13" s="128"/>
      <c r="F13" s="128"/>
      <c r="G13" s="127"/>
      <c r="H13" s="127"/>
      <c r="I13" s="127"/>
      <c r="J13" s="127"/>
      <c r="K13" s="127"/>
      <c r="L13" s="127"/>
      <c r="M13" s="127"/>
      <c r="N13" s="127"/>
      <c r="O13" s="127"/>
      <c r="P13" s="127"/>
    </row>
    <row r="14" spans="1:16">
      <c r="A14" s="180"/>
      <c r="B14" s="97"/>
      <c r="C14" s="97"/>
      <c r="D14" s="97"/>
      <c r="E14" s="97"/>
      <c r="F14" s="128"/>
      <c r="G14" s="127"/>
      <c r="H14" s="127"/>
      <c r="I14" s="127"/>
      <c r="J14" s="127"/>
      <c r="K14" s="127"/>
      <c r="L14" s="127"/>
      <c r="M14" s="127"/>
      <c r="N14" s="127"/>
      <c r="O14" s="127"/>
      <c r="P14" s="127"/>
    </row>
    <row r="15" spans="1:16">
      <c r="A15" s="180"/>
      <c r="B15" s="97"/>
      <c r="C15" s="97"/>
      <c r="D15" s="97"/>
      <c r="E15" s="97"/>
      <c r="F15" s="128"/>
      <c r="G15" s="127"/>
      <c r="H15" s="127"/>
      <c r="I15" s="127"/>
      <c r="J15" s="127"/>
      <c r="K15" s="127"/>
      <c r="L15" s="127"/>
      <c r="M15" s="127"/>
      <c r="N15" s="127"/>
      <c r="O15" s="127"/>
      <c r="P15" s="127"/>
    </row>
    <row r="16" spans="1:16">
      <c r="A16" s="180"/>
      <c r="B16" s="97"/>
      <c r="C16" s="97"/>
      <c r="D16" s="97"/>
      <c r="E16" s="97"/>
      <c r="F16" s="128"/>
      <c r="G16" s="127"/>
      <c r="H16" s="127"/>
      <c r="I16" s="127"/>
      <c r="J16" s="127"/>
      <c r="K16" s="127"/>
      <c r="L16" s="127"/>
      <c r="M16" s="127"/>
      <c r="N16" s="127"/>
      <c r="O16" s="127"/>
      <c r="P16" s="127"/>
    </row>
    <row r="17" spans="1:16">
      <c r="A17" s="180"/>
      <c r="B17" s="97"/>
      <c r="C17" s="97"/>
      <c r="D17" s="97"/>
      <c r="E17" s="97"/>
      <c r="F17" s="128"/>
      <c r="G17" s="127"/>
      <c r="H17" s="127"/>
      <c r="I17" s="127"/>
      <c r="J17" s="127"/>
      <c r="K17" s="127"/>
      <c r="L17" s="127"/>
      <c r="M17" s="127"/>
      <c r="N17" s="127"/>
      <c r="O17" s="127"/>
      <c r="P17" s="127"/>
    </row>
    <row r="18" spans="1:16">
      <c r="A18" s="180"/>
      <c r="B18" s="97"/>
      <c r="C18" s="97"/>
      <c r="D18" s="97"/>
      <c r="E18" s="97"/>
      <c r="F18" s="128"/>
      <c r="G18" s="127"/>
      <c r="H18" s="127"/>
      <c r="I18" s="127"/>
      <c r="J18" s="127"/>
      <c r="K18" s="127"/>
      <c r="L18" s="127"/>
      <c r="M18" s="127"/>
      <c r="N18" s="127"/>
      <c r="O18" s="127"/>
      <c r="P18" s="127"/>
    </row>
    <row r="19" spans="1:16">
      <c r="A19" s="180"/>
      <c r="B19" s="97"/>
      <c r="C19" s="97"/>
      <c r="D19" s="97"/>
      <c r="E19" s="97"/>
      <c r="F19" s="128"/>
      <c r="G19" s="127"/>
      <c r="H19" s="127"/>
      <c r="I19" s="127"/>
      <c r="J19" s="127"/>
      <c r="K19" s="127"/>
      <c r="L19" s="127"/>
      <c r="M19" s="127"/>
      <c r="N19" s="127"/>
      <c r="O19" s="127"/>
      <c r="P19" s="127"/>
    </row>
    <row r="20" spans="1:16">
      <c r="A20" s="180"/>
      <c r="B20" s="97"/>
      <c r="C20" s="97"/>
      <c r="D20" s="97"/>
      <c r="E20" s="97"/>
      <c r="F20" s="128"/>
      <c r="G20" s="127"/>
      <c r="H20" s="127"/>
      <c r="I20" s="127"/>
      <c r="J20" s="127"/>
      <c r="K20" s="127"/>
      <c r="L20" s="127"/>
      <c r="M20" s="127"/>
      <c r="N20" s="127"/>
      <c r="O20" s="127"/>
      <c r="P20" s="127"/>
    </row>
    <row r="21" spans="1:16">
      <c r="A21" s="180"/>
      <c r="B21" s="97"/>
      <c r="C21" s="97"/>
      <c r="D21" s="97"/>
      <c r="E21" s="97"/>
      <c r="F21" s="128"/>
      <c r="G21" s="127"/>
      <c r="H21" s="127"/>
      <c r="I21" s="127"/>
      <c r="J21" s="127"/>
      <c r="K21" s="127"/>
      <c r="L21" s="127"/>
      <c r="M21" s="127"/>
      <c r="N21" s="127"/>
      <c r="O21" s="127"/>
      <c r="P21" s="127"/>
    </row>
    <row r="22" spans="1:16">
      <c r="A22" s="180"/>
      <c r="B22" s="97"/>
      <c r="C22" s="97"/>
      <c r="D22" s="97"/>
      <c r="E22" s="97"/>
      <c r="F22" s="128"/>
      <c r="G22" s="127"/>
      <c r="H22" s="127"/>
      <c r="I22" s="127"/>
      <c r="J22" s="127"/>
      <c r="K22" s="127"/>
      <c r="L22" s="127"/>
      <c r="M22" s="127"/>
      <c r="N22" s="127"/>
      <c r="O22" s="127"/>
      <c r="P22" s="127"/>
    </row>
    <row r="23" spans="1:16">
      <c r="B23" s="97"/>
      <c r="C23" s="97"/>
      <c r="D23" s="97"/>
      <c r="E23" s="97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A05D6-05FE-44D7-B577-A376B80FC43D}">
  <dimension ref="A1:R30"/>
  <sheetViews>
    <sheetView workbookViewId="0">
      <selection activeCell="A2" sqref="A2"/>
    </sheetView>
  </sheetViews>
  <sheetFormatPr defaultRowHeight="13.2"/>
  <cols>
    <col min="1" max="1" width="14.44140625" customWidth="1"/>
    <col min="2" max="6" width="17.5546875" customWidth="1"/>
  </cols>
  <sheetData>
    <row r="1" spans="1:18">
      <c r="A1" s="127"/>
      <c r="B1" s="150" t="s">
        <v>171</v>
      </c>
      <c r="C1" s="151"/>
      <c r="D1" s="151"/>
      <c r="E1" s="151"/>
      <c r="F1" s="151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18" ht="39.6">
      <c r="A2" s="152" t="s">
        <v>155</v>
      </c>
      <c r="B2" s="153" t="s">
        <v>172</v>
      </c>
      <c r="C2" s="153" t="s">
        <v>173</v>
      </c>
      <c r="D2" s="153" t="s">
        <v>174</v>
      </c>
      <c r="E2" s="153" t="s">
        <v>175</v>
      </c>
      <c r="F2" s="153" t="s">
        <v>176</v>
      </c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18">
      <c r="A3" s="154" t="s">
        <v>112</v>
      </c>
      <c r="B3" s="155">
        <v>743.36</v>
      </c>
      <c r="C3" s="156">
        <v>705.91</v>
      </c>
      <c r="D3" s="156">
        <v>790.41</v>
      </c>
      <c r="E3" s="155">
        <v>797.68</v>
      </c>
      <c r="F3" s="155">
        <v>611.05999999999995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</row>
    <row r="4" spans="1:18">
      <c r="A4" s="154" t="s">
        <v>113</v>
      </c>
      <c r="B4" s="155">
        <v>712.03</v>
      </c>
      <c r="C4" s="156">
        <v>697.42</v>
      </c>
      <c r="D4" s="156">
        <v>799.73</v>
      </c>
      <c r="E4" s="155">
        <v>787.76</v>
      </c>
      <c r="F4" s="155">
        <v>618.95000000000005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</row>
    <row r="5" spans="1:18">
      <c r="A5" s="154" t="s">
        <v>114</v>
      </c>
      <c r="B5" s="155">
        <v>788.44</v>
      </c>
      <c r="C5" s="156">
        <v>762.39</v>
      </c>
      <c r="D5" s="156">
        <v>884.02</v>
      </c>
      <c r="E5" s="155">
        <v>753.91</v>
      </c>
      <c r="F5" s="155">
        <v>701.01</v>
      </c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</row>
    <row r="6" spans="1:18">
      <c r="A6" s="154" t="s">
        <v>115</v>
      </c>
      <c r="B6" s="155">
        <v>731.42</v>
      </c>
      <c r="C6" s="156">
        <v>723.54</v>
      </c>
      <c r="D6" s="156">
        <v>851.54</v>
      </c>
      <c r="E6" s="155">
        <v>744.72</v>
      </c>
      <c r="F6" s="155">
        <v>619.16999999999996</v>
      </c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</row>
    <row r="7" spans="1:18">
      <c r="A7" s="154" t="s">
        <v>116</v>
      </c>
      <c r="B7" s="155">
        <v>674.82</v>
      </c>
      <c r="C7" s="156">
        <v>649.24</v>
      </c>
      <c r="D7" s="156">
        <v>841</v>
      </c>
      <c r="E7" s="155">
        <v>681.39</v>
      </c>
      <c r="F7" s="155">
        <v>491.47</v>
      </c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</row>
    <row r="8" spans="1:18">
      <c r="A8" s="154" t="s">
        <v>117</v>
      </c>
      <c r="B8" s="155">
        <v>712.32</v>
      </c>
      <c r="C8" s="155">
        <v>696.91</v>
      </c>
      <c r="D8" s="155">
        <v>872.68</v>
      </c>
      <c r="E8" s="155">
        <v>752.45</v>
      </c>
      <c r="F8" s="155">
        <v>632.69000000000005</v>
      </c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</row>
    <row r="9" spans="1:18">
      <c r="A9" s="154" t="s">
        <v>118</v>
      </c>
      <c r="B9" s="155">
        <v>1273.74</v>
      </c>
      <c r="C9" s="155">
        <v>1146.8699999999999</v>
      </c>
      <c r="D9" s="155">
        <v>1291.1400000000001</v>
      </c>
      <c r="E9" s="155">
        <v>1291.04</v>
      </c>
      <c r="F9" s="155">
        <v>1052.69</v>
      </c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</row>
    <row r="10" spans="1:18">
      <c r="A10" s="154" t="s">
        <v>34</v>
      </c>
      <c r="B10" s="155">
        <v>1634.86</v>
      </c>
      <c r="C10" s="156">
        <v>1494.53</v>
      </c>
      <c r="D10" s="156">
        <v>1844.59</v>
      </c>
      <c r="E10" s="155">
        <v>1355.64</v>
      </c>
      <c r="F10" s="155">
        <v>1410.29</v>
      </c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</row>
    <row r="11" spans="1:18">
      <c r="A11" s="154" t="s">
        <v>52</v>
      </c>
      <c r="B11" s="155">
        <v>1495.41</v>
      </c>
      <c r="C11" s="156">
        <v>1091.3699999999999</v>
      </c>
      <c r="D11" s="156">
        <v>1099.67</v>
      </c>
      <c r="E11" s="155">
        <v>926.13</v>
      </c>
      <c r="F11" s="155">
        <v>929.31</v>
      </c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</row>
    <row r="12" spans="1:18">
      <c r="A12" s="154"/>
      <c r="B12" s="155"/>
      <c r="C12" s="156"/>
      <c r="D12" s="156"/>
      <c r="E12" s="155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</row>
    <row r="13" spans="1:18">
      <c r="A13" s="127"/>
      <c r="B13" s="109"/>
      <c r="C13" s="109"/>
      <c r="D13" s="109"/>
      <c r="E13" s="109"/>
      <c r="F13" s="109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</row>
    <row r="14" spans="1:18">
      <c r="A14" s="157"/>
      <c r="B14" s="156"/>
      <c r="C14" s="156"/>
      <c r="D14" s="156"/>
      <c r="E14" s="156"/>
      <c r="F14" s="156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</row>
    <row r="15" spans="1:18">
      <c r="A15" s="157"/>
      <c r="B15" s="156"/>
      <c r="C15" s="156"/>
      <c r="D15" s="156"/>
      <c r="E15" s="156"/>
      <c r="F15" s="156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</row>
    <row r="16" spans="1:18">
      <c r="A16" s="157"/>
      <c r="B16" s="156"/>
      <c r="C16" s="156"/>
      <c r="D16" s="156"/>
      <c r="E16" s="156"/>
      <c r="F16" s="156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</row>
    <row r="17" spans="1:18">
      <c r="A17" s="157"/>
      <c r="B17" s="156"/>
      <c r="C17" s="156"/>
      <c r="D17" s="156"/>
      <c r="E17" s="156"/>
      <c r="F17" s="156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</row>
    <row r="18" spans="1:18">
      <c r="A18" s="157"/>
      <c r="B18" s="156"/>
      <c r="C18" s="156"/>
      <c r="D18" s="156"/>
      <c r="E18" s="156"/>
      <c r="F18" s="156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</row>
    <row r="19" spans="1:18">
      <c r="A19" s="157"/>
      <c r="B19" s="156"/>
      <c r="C19" s="156"/>
      <c r="D19" s="156"/>
      <c r="E19" s="156"/>
      <c r="F19" s="156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</row>
    <row r="20" spans="1:18">
      <c r="A20" s="157"/>
      <c r="B20" s="156"/>
      <c r="C20" s="156"/>
      <c r="D20" s="156"/>
      <c r="E20" s="156"/>
      <c r="F20" s="156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</row>
    <row r="21" spans="1:18">
      <c r="A21" s="157"/>
      <c r="B21" s="156"/>
      <c r="C21" s="156"/>
      <c r="D21" s="156"/>
      <c r="E21" s="156"/>
      <c r="F21" s="156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</row>
    <row r="22" spans="1:18">
      <c r="A22" s="157"/>
      <c r="B22" s="156"/>
      <c r="C22" s="156"/>
      <c r="D22" s="156"/>
      <c r="E22" s="156"/>
      <c r="F22" s="156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</row>
    <row r="23" spans="1:18">
      <c r="A23" s="127"/>
      <c r="B23" s="156"/>
      <c r="C23" s="156"/>
      <c r="D23" s="156"/>
      <c r="E23" s="156"/>
      <c r="F23" s="156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</row>
    <row r="24" spans="1:18">
      <c r="A24" s="127"/>
      <c r="B24" s="156"/>
      <c r="C24" s="156"/>
      <c r="D24" s="156"/>
      <c r="E24" s="156"/>
      <c r="F24" s="156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</row>
    <row r="25" spans="1:18">
      <c r="A25" s="127"/>
      <c r="B25" s="155"/>
      <c r="C25" s="155"/>
      <c r="D25" s="155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</row>
    <row r="26" spans="1:18">
      <c r="A26" s="127"/>
      <c r="B26" s="155"/>
      <c r="C26" s="155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</row>
    <row r="27" spans="1:18">
      <c r="A27" s="127"/>
      <c r="B27" s="109"/>
      <c r="C27" s="109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</row>
    <row r="28" spans="1:18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</row>
    <row r="29" spans="1:18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</row>
    <row r="30" spans="1:18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C7243-5799-4620-A2FF-30F691F4E423}">
  <dimension ref="A1:H10"/>
  <sheetViews>
    <sheetView workbookViewId="0"/>
  </sheetViews>
  <sheetFormatPr defaultRowHeight="13.2"/>
  <cols>
    <col min="1" max="1" width="12.6640625" customWidth="1"/>
    <col min="2" max="3" width="13.88671875" bestFit="1" customWidth="1"/>
    <col min="4" max="4" width="19.5546875" bestFit="1" customWidth="1"/>
    <col min="5" max="6" width="13.88671875" bestFit="1" customWidth="1"/>
    <col min="7" max="8" width="15.44140625" bestFit="1" customWidth="1"/>
  </cols>
  <sheetData>
    <row r="1" spans="1:8" ht="27">
      <c r="A1" s="152" t="s">
        <v>155</v>
      </c>
      <c r="B1" s="198" t="s">
        <v>188</v>
      </c>
      <c r="C1" s="198" t="s">
        <v>189</v>
      </c>
      <c r="D1" s="198" t="s">
        <v>190</v>
      </c>
      <c r="E1" s="198" t="s">
        <v>191</v>
      </c>
      <c r="F1" s="198" t="s">
        <v>192</v>
      </c>
      <c r="G1" s="198" t="s">
        <v>194</v>
      </c>
      <c r="H1" s="199" t="s">
        <v>193</v>
      </c>
    </row>
    <row r="2" spans="1:8" ht="14.4">
      <c r="A2" s="180" t="s">
        <v>112</v>
      </c>
      <c r="B2" s="195">
        <v>127110232.10600001</v>
      </c>
      <c r="C2" s="195">
        <v>540491473.52199996</v>
      </c>
      <c r="D2" s="195">
        <v>256879897.31799999</v>
      </c>
      <c r="E2" s="195">
        <v>129563533.24199998</v>
      </c>
      <c r="F2" s="195">
        <v>101281345.11</v>
      </c>
      <c r="G2" s="195">
        <v>859044513.02999997</v>
      </c>
      <c r="H2" s="195">
        <v>2014370994.3280001</v>
      </c>
    </row>
    <row r="3" spans="1:8" ht="14.4">
      <c r="A3" s="180" t="s">
        <v>113</v>
      </c>
      <c r="B3" s="195">
        <v>202139844.10399997</v>
      </c>
      <c r="C3" s="195">
        <v>519306839.01799995</v>
      </c>
      <c r="D3" s="195">
        <v>261480498.33399999</v>
      </c>
      <c r="E3" s="195">
        <v>112625217.31999999</v>
      </c>
      <c r="F3" s="195">
        <v>108138374.69599999</v>
      </c>
      <c r="G3" s="195">
        <v>1038848470.0660001</v>
      </c>
      <c r="H3" s="195">
        <v>2242539243.5380001</v>
      </c>
    </row>
    <row r="4" spans="1:8" ht="14.4">
      <c r="A4" s="180" t="s">
        <v>114</v>
      </c>
      <c r="B4" s="195">
        <v>453517671.28799999</v>
      </c>
      <c r="C4" s="195">
        <v>584285808.898</v>
      </c>
      <c r="D4" s="195">
        <v>330552786.16799998</v>
      </c>
      <c r="E4" s="195">
        <v>269667795.62799996</v>
      </c>
      <c r="F4" s="195">
        <v>94379120.813999996</v>
      </c>
      <c r="G4" s="195">
        <v>823256696.1079998</v>
      </c>
      <c r="H4" s="195">
        <v>2555659878.9039998</v>
      </c>
    </row>
    <row r="5" spans="1:8" ht="14.4">
      <c r="A5" s="180" t="s">
        <v>115</v>
      </c>
      <c r="B5" s="195">
        <v>664537063.36599994</v>
      </c>
      <c r="C5" s="195">
        <v>367414253.02999997</v>
      </c>
      <c r="D5" s="195">
        <v>335507008.23199999</v>
      </c>
      <c r="E5" s="195">
        <v>239126753.84399998</v>
      </c>
      <c r="F5" s="195">
        <v>157872617.73799998</v>
      </c>
      <c r="G5" s="195">
        <v>678576965.37399983</v>
      </c>
      <c r="H5" s="195">
        <v>2443034661.5839996</v>
      </c>
    </row>
    <row r="6" spans="1:8" ht="14.4">
      <c r="A6" s="180" t="s">
        <v>116</v>
      </c>
      <c r="B6" s="195">
        <v>667544165.04599988</v>
      </c>
      <c r="C6" s="195">
        <v>276834794.78600001</v>
      </c>
      <c r="D6" s="195">
        <v>307189766.64200002</v>
      </c>
      <c r="E6" s="195">
        <v>148238648.79999998</v>
      </c>
      <c r="F6" s="195">
        <v>192713329.90799999</v>
      </c>
      <c r="G6" s="195">
        <v>347898956.78999996</v>
      </c>
      <c r="H6" s="195">
        <v>1940419661.9719999</v>
      </c>
    </row>
    <row r="7" spans="1:8" ht="14.4">
      <c r="A7" s="180" t="s">
        <v>117</v>
      </c>
      <c r="B7" s="195">
        <v>778360932.57999992</v>
      </c>
      <c r="C7" s="195">
        <v>284274284.97600001</v>
      </c>
      <c r="D7" s="195">
        <v>332909304.48599994</v>
      </c>
      <c r="E7" s="195">
        <v>301621998.83200002</v>
      </c>
      <c r="F7" s="195">
        <v>231890309.15599999</v>
      </c>
      <c r="G7" s="195">
        <v>907634778.75399983</v>
      </c>
      <c r="H7" s="195">
        <v>2836691608.7839999</v>
      </c>
    </row>
    <row r="8" spans="1:8" ht="14.4">
      <c r="A8" s="180" t="s">
        <v>118</v>
      </c>
      <c r="B8" s="195">
        <v>471798821.25199997</v>
      </c>
      <c r="C8" s="195">
        <v>141207454.234</v>
      </c>
      <c r="D8" s="195">
        <v>178551291.95199999</v>
      </c>
      <c r="E8" s="195">
        <v>78655991.436000004</v>
      </c>
      <c r="F8" s="195">
        <v>191388132.82600001</v>
      </c>
      <c r="G8" s="195">
        <v>671100217.10600007</v>
      </c>
      <c r="H8" s="195">
        <v>1732701908.806</v>
      </c>
    </row>
    <row r="9" spans="1:8" ht="14.4">
      <c r="A9" s="180" t="s">
        <v>34</v>
      </c>
      <c r="B9" s="195">
        <v>245759132.65200001</v>
      </c>
      <c r="C9" s="195">
        <v>202305631.52799997</v>
      </c>
      <c r="D9" s="195">
        <v>113469366.318</v>
      </c>
      <c r="E9" s="195">
        <v>72631646.823999986</v>
      </c>
      <c r="F9" s="195">
        <v>179165940.00799999</v>
      </c>
      <c r="G9" s="195">
        <v>957586176.86600006</v>
      </c>
      <c r="H9" s="195">
        <v>1770917894.1960001</v>
      </c>
    </row>
    <row r="10" spans="1:8" ht="14.4">
      <c r="A10" s="182" t="s">
        <v>52</v>
      </c>
      <c r="B10" s="195">
        <v>583562.91399999999</v>
      </c>
      <c r="C10" s="195">
        <v>105099306.02600001</v>
      </c>
      <c r="D10" s="195">
        <v>13753962.794</v>
      </c>
      <c r="E10" s="195">
        <v>11468874.163999999</v>
      </c>
      <c r="F10" s="195">
        <v>12507691.107999999</v>
      </c>
      <c r="G10" s="195">
        <v>234660193.72400001</v>
      </c>
      <c r="H10" s="195">
        <v>378073590.72999996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2B95A-5FE0-491E-BE18-49A656820777}">
  <dimension ref="A1:G7"/>
  <sheetViews>
    <sheetView workbookViewId="0"/>
  </sheetViews>
  <sheetFormatPr defaultRowHeight="13.2"/>
  <cols>
    <col min="1" max="1" width="13.109375" customWidth="1"/>
  </cols>
  <sheetData>
    <row r="1" spans="1:7">
      <c r="A1" s="197" t="s">
        <v>195</v>
      </c>
      <c r="B1" s="197" t="s">
        <v>115</v>
      </c>
      <c r="C1" s="197" t="s">
        <v>116</v>
      </c>
      <c r="D1" s="197" t="s">
        <v>117</v>
      </c>
      <c r="E1" s="197" t="s">
        <v>118</v>
      </c>
      <c r="F1" s="197" t="s">
        <v>34</v>
      </c>
      <c r="G1" s="197" t="s">
        <v>52</v>
      </c>
    </row>
    <row r="2" spans="1:7">
      <c r="A2" t="s">
        <v>196</v>
      </c>
      <c r="B2" s="156">
        <v>166005.55800000002</v>
      </c>
      <c r="C2" s="156">
        <v>124681.12800000001</v>
      </c>
      <c r="D2" s="156">
        <v>128127.24399999999</v>
      </c>
      <c r="E2" s="156">
        <v>63161.107000000004</v>
      </c>
      <c r="F2" s="156">
        <v>90840.054000000004</v>
      </c>
      <c r="G2" s="156">
        <v>47244.809000000001</v>
      </c>
    </row>
    <row r="3" spans="1:7">
      <c r="A3" t="s">
        <v>197</v>
      </c>
      <c r="B3" s="156">
        <v>0</v>
      </c>
      <c r="C3" s="156">
        <v>0</v>
      </c>
      <c r="D3" s="156">
        <v>0</v>
      </c>
      <c r="E3" s="156">
        <v>0</v>
      </c>
      <c r="F3" s="156">
        <v>4300</v>
      </c>
      <c r="G3" s="156">
        <v>43318.953999999998</v>
      </c>
    </row>
    <row r="4" spans="1:7">
      <c r="A4" t="s">
        <v>201</v>
      </c>
      <c r="B4" s="156">
        <v>335.07099999999997</v>
      </c>
      <c r="C4" s="156">
        <v>1599.3180000000002</v>
      </c>
      <c r="D4" s="156">
        <v>6930.5259999999998</v>
      </c>
      <c r="E4" s="156">
        <v>14132.919</v>
      </c>
      <c r="F4" s="156">
        <v>10778.573000000002</v>
      </c>
      <c r="G4" s="156">
        <v>3099.34</v>
      </c>
    </row>
    <row r="5" spans="1:7">
      <c r="A5" t="s">
        <v>199</v>
      </c>
      <c r="B5" s="156">
        <v>0</v>
      </c>
      <c r="C5" s="156">
        <v>0</v>
      </c>
      <c r="D5" s="156">
        <v>0</v>
      </c>
      <c r="E5" s="156">
        <v>0</v>
      </c>
      <c r="F5" s="156">
        <v>518.4</v>
      </c>
      <c r="G5" s="156">
        <v>2025</v>
      </c>
    </row>
    <row r="6" spans="1:7">
      <c r="A6" t="s">
        <v>202</v>
      </c>
      <c r="B6" s="156">
        <v>0</v>
      </c>
      <c r="C6" s="156">
        <v>0</v>
      </c>
      <c r="D6" s="156">
        <v>638.15909999999997</v>
      </c>
      <c r="E6" s="156">
        <v>1275.61967</v>
      </c>
      <c r="F6" s="156">
        <v>1449.1369099999997</v>
      </c>
      <c r="G6" s="156">
        <v>1306.45489</v>
      </c>
    </row>
    <row r="7" spans="1:7">
      <c r="A7" t="s">
        <v>194</v>
      </c>
      <c r="B7" s="156">
        <v>283.3384800000058</v>
      </c>
      <c r="C7" s="156">
        <v>233.2844999999943</v>
      </c>
      <c r="D7" s="156">
        <v>541.31760999999824</v>
      </c>
      <c r="E7" s="156">
        <v>1069.3052400000015</v>
      </c>
      <c r="F7" s="156">
        <v>1678.8190000000031</v>
      </c>
      <c r="G7" s="156">
        <v>1359.9019999999873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DB329-5422-4DD0-861F-E5009740BBD4}">
  <dimension ref="A1:G7"/>
  <sheetViews>
    <sheetView workbookViewId="0"/>
  </sheetViews>
  <sheetFormatPr defaultRowHeight="13.2"/>
  <cols>
    <col min="2" max="7" width="14.44140625" bestFit="1" customWidth="1"/>
  </cols>
  <sheetData>
    <row r="1" spans="1:7">
      <c r="A1" s="104" t="s">
        <v>195</v>
      </c>
      <c r="B1" s="104" t="s">
        <v>115</v>
      </c>
      <c r="C1" s="104" t="s">
        <v>116</v>
      </c>
      <c r="D1" s="104" t="s">
        <v>117</v>
      </c>
      <c r="E1" s="104" t="s">
        <v>118</v>
      </c>
      <c r="F1" s="104" t="s">
        <v>34</v>
      </c>
      <c r="G1" s="183" t="s">
        <v>52</v>
      </c>
    </row>
    <row r="2" spans="1:7" ht="26.4">
      <c r="A2" s="184" t="s">
        <v>196</v>
      </c>
      <c r="B2" s="196">
        <v>225453.192415</v>
      </c>
      <c r="C2" s="196">
        <v>284552.92944000004</v>
      </c>
      <c r="D2" s="196">
        <v>352114.40739299997</v>
      </c>
      <c r="E2" s="196">
        <v>275862.60864699999</v>
      </c>
      <c r="F2" s="196">
        <v>111421.99815000001</v>
      </c>
      <c r="G2" s="196">
        <v>96.044292999999982</v>
      </c>
    </row>
    <row r="3" spans="1:7">
      <c r="A3" s="184" t="s">
        <v>197</v>
      </c>
      <c r="B3" s="196">
        <v>28582.397569999997</v>
      </c>
      <c r="C3" s="196">
        <v>10160.216</v>
      </c>
      <c r="D3" s="196">
        <v>15502.967700000001</v>
      </c>
      <c r="E3" s="196">
        <v>56438.269350000002</v>
      </c>
      <c r="F3" s="196">
        <v>175117.16970500001</v>
      </c>
      <c r="G3" s="196">
        <v>202321.22308999998</v>
      </c>
    </row>
    <row r="4" spans="1:7">
      <c r="A4" s="184" t="s">
        <v>198</v>
      </c>
      <c r="B4" s="196">
        <v>10993.126</v>
      </c>
      <c r="C4" s="196">
        <v>20999.606</v>
      </c>
      <c r="D4" s="196">
        <v>7038.1695589999999</v>
      </c>
      <c r="E4" s="196">
        <v>39963.397012999994</v>
      </c>
      <c r="F4" s="196">
        <v>60596.942041999995</v>
      </c>
      <c r="G4" s="196">
        <v>45426.36047</v>
      </c>
    </row>
    <row r="5" spans="1:7">
      <c r="A5" s="184" t="s">
        <v>199</v>
      </c>
      <c r="B5" s="196">
        <v>8.0750000000000006E-3</v>
      </c>
      <c r="C5" s="196">
        <v>0</v>
      </c>
      <c r="D5" s="196">
        <v>0</v>
      </c>
      <c r="E5" s="196">
        <v>8003.0268500000002</v>
      </c>
      <c r="F5" s="196">
        <v>11314.714185000001</v>
      </c>
      <c r="G5" s="196">
        <v>38848.06912</v>
      </c>
    </row>
    <row r="6" spans="1:7">
      <c r="A6" s="105" t="s">
        <v>200</v>
      </c>
      <c r="B6" s="196">
        <v>3.6779999999999999</v>
      </c>
      <c r="C6" s="196">
        <v>2419.5626500000003</v>
      </c>
      <c r="D6" s="196">
        <v>17004.961799999997</v>
      </c>
      <c r="E6" s="196">
        <v>19468.893039999999</v>
      </c>
      <c r="F6" s="196">
        <v>197.642</v>
      </c>
      <c r="G6" s="196">
        <v>0.14600000000000002</v>
      </c>
    </row>
    <row r="7" spans="1:7">
      <c r="A7" s="105" t="s">
        <v>194</v>
      </c>
      <c r="B7" s="196">
        <v>11389.343433999922</v>
      </c>
      <c r="C7" s="196">
        <v>10328.383027000003</v>
      </c>
      <c r="D7" s="196">
        <v>9936.1591430000262</v>
      </c>
      <c r="E7" s="196">
        <v>7278.0873979999451</v>
      </c>
      <c r="F7" s="196">
        <v>33172.84613000002</v>
      </c>
      <c r="G7" s="196">
        <v>66622.598750999954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AE7E-4905-4666-BB08-DFFE272020A2}">
  <dimension ref="A1:H10"/>
  <sheetViews>
    <sheetView workbookViewId="0"/>
  </sheetViews>
  <sheetFormatPr defaultRowHeight="13.2"/>
  <cols>
    <col min="1" max="1" width="14.88671875" customWidth="1"/>
    <col min="3" max="3" width="9.6640625" bestFit="1" customWidth="1"/>
    <col min="4" max="4" width="11.88671875" customWidth="1"/>
    <col min="5" max="5" width="13.88671875" customWidth="1"/>
    <col min="7" max="7" width="9.6640625" bestFit="1" customWidth="1"/>
    <col min="8" max="8" width="12.5546875" customWidth="1"/>
  </cols>
  <sheetData>
    <row r="1" spans="1:8" ht="26.4">
      <c r="A1" s="104" t="s">
        <v>155</v>
      </c>
      <c r="B1" s="104" t="s">
        <v>182</v>
      </c>
      <c r="C1" s="104" t="s">
        <v>203</v>
      </c>
      <c r="D1" s="104" t="s">
        <v>204</v>
      </c>
      <c r="E1" s="104" t="s">
        <v>205</v>
      </c>
      <c r="F1" s="104" t="s">
        <v>184</v>
      </c>
      <c r="G1" s="104" t="s">
        <v>206</v>
      </c>
      <c r="H1" s="183" t="s">
        <v>28</v>
      </c>
    </row>
    <row r="2" spans="1:8">
      <c r="A2" s="184" t="s">
        <v>112</v>
      </c>
      <c r="B2" s="185">
        <v>264321.15120399999</v>
      </c>
      <c r="C2" s="185">
        <v>3691923.8929099999</v>
      </c>
      <c r="D2" s="185">
        <v>2519424.9650460002</v>
      </c>
      <c r="E2" s="185">
        <v>176881.95368799998</v>
      </c>
      <c r="F2" s="185">
        <v>38809.469094</v>
      </c>
      <c r="G2" s="185">
        <v>2698536.8918639999</v>
      </c>
      <c r="H2" s="185">
        <v>9389898.3238060009</v>
      </c>
    </row>
    <row r="3" spans="1:8">
      <c r="A3" s="184" t="s">
        <v>113</v>
      </c>
      <c r="B3" s="185">
        <v>286552.98020799999</v>
      </c>
      <c r="C3" s="185">
        <v>3962052.2336560003</v>
      </c>
      <c r="D3" s="185">
        <v>2881838.9194539995</v>
      </c>
      <c r="E3" s="185">
        <v>92753.434026000003</v>
      </c>
      <c r="F3" s="185">
        <v>82835.069107999996</v>
      </c>
      <c r="G3" s="185">
        <v>2723581.154602</v>
      </c>
      <c r="H3" s="185">
        <v>10029613.791054001</v>
      </c>
    </row>
    <row r="4" spans="1:8">
      <c r="A4" s="105" t="s">
        <v>114</v>
      </c>
      <c r="B4" s="185">
        <v>318710.89029999997</v>
      </c>
      <c r="C4" s="185">
        <v>4410238.4723979998</v>
      </c>
      <c r="D4" s="185">
        <v>3012787.1745179999</v>
      </c>
      <c r="E4" s="185">
        <v>119833.663334</v>
      </c>
      <c r="F4" s="185">
        <v>73000.700211999996</v>
      </c>
      <c r="G4" s="185">
        <v>2588406.8634600001</v>
      </c>
      <c r="H4" s="185">
        <v>10522977.764222</v>
      </c>
    </row>
    <row r="5" spans="1:8">
      <c r="A5" s="105" t="s">
        <v>115</v>
      </c>
      <c r="B5" s="185">
        <v>335299.77395200002</v>
      </c>
      <c r="C5" s="185">
        <v>4083047.9521919996</v>
      </c>
      <c r="D5" s="185">
        <v>3365345.8161399998</v>
      </c>
      <c r="E5" s="185">
        <v>160808.95111599998</v>
      </c>
      <c r="F5" s="185">
        <v>62467.466775999994</v>
      </c>
      <c r="G5" s="185">
        <v>2591057.2576239998</v>
      </c>
      <c r="H5" s="185">
        <v>10598027.217800001</v>
      </c>
    </row>
    <row r="6" spans="1:8">
      <c r="A6" s="105" t="s">
        <v>116</v>
      </c>
      <c r="B6" s="185">
        <v>397261.50089999998</v>
      </c>
      <c r="C6" s="185">
        <v>3911406.3802439994</v>
      </c>
      <c r="D6" s="185">
        <v>3365138.8023219998</v>
      </c>
      <c r="E6" s="185">
        <v>131463.474758</v>
      </c>
      <c r="F6" s="185">
        <v>64351.975951999993</v>
      </c>
      <c r="G6" s="185">
        <v>2543485.5263400003</v>
      </c>
      <c r="H6" s="185">
        <v>10413107.660516001</v>
      </c>
    </row>
    <row r="7" spans="1:8">
      <c r="A7" s="105" t="s">
        <v>117</v>
      </c>
      <c r="B7" s="185">
        <v>319929.16331199999</v>
      </c>
      <c r="C7" s="185">
        <v>4028999.9291960001</v>
      </c>
      <c r="D7" s="185">
        <v>3312534.3645020002</v>
      </c>
      <c r="E7" s="185">
        <v>372439.68432</v>
      </c>
      <c r="F7" s="185">
        <v>54213.589957999997</v>
      </c>
      <c r="G7" s="185">
        <v>2770368.9230139991</v>
      </c>
      <c r="H7" s="185">
        <v>10858485.654302001</v>
      </c>
    </row>
    <row r="8" spans="1:8">
      <c r="A8" s="105" t="s">
        <v>118</v>
      </c>
      <c r="B8" s="185">
        <v>301723.85227599996</v>
      </c>
      <c r="C8" s="185">
        <v>4117116.1655139998</v>
      </c>
      <c r="D8" s="185">
        <v>3475472.758076</v>
      </c>
      <c r="E8" s="185">
        <v>294587.93825999997</v>
      </c>
      <c r="F8" s="185">
        <v>51294.232153999998</v>
      </c>
      <c r="G8" s="185">
        <v>2749644.3927039998</v>
      </c>
      <c r="H8" s="185">
        <v>10989839.338984</v>
      </c>
    </row>
    <row r="9" spans="1:8">
      <c r="A9" s="102" t="s">
        <v>34</v>
      </c>
      <c r="B9" s="185">
        <v>302965.05333599995</v>
      </c>
      <c r="C9" s="185">
        <v>4418577.2270860001</v>
      </c>
      <c r="D9" s="185">
        <v>3500587.7891160003</v>
      </c>
      <c r="E9" s="185">
        <v>450175.02644399996</v>
      </c>
      <c r="F9" s="185">
        <v>155465.83408399997</v>
      </c>
      <c r="G9" s="185">
        <v>2919251.7617779993</v>
      </c>
      <c r="H9" s="185">
        <v>11747022.691844</v>
      </c>
    </row>
    <row r="10" spans="1:8">
      <c r="A10" s="102" t="s">
        <v>52</v>
      </c>
      <c r="B10" s="185">
        <v>375698.99452800001</v>
      </c>
      <c r="C10" s="185">
        <v>6271318.4902720004</v>
      </c>
      <c r="D10" s="185">
        <v>4160502.2052660002</v>
      </c>
      <c r="E10" s="185">
        <v>335960.27810400003</v>
      </c>
      <c r="F10" s="185">
        <v>179952.32796200001</v>
      </c>
      <c r="G10" s="185">
        <v>2667511.0541419997</v>
      </c>
      <c r="H10" s="185">
        <v>13990943.350274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C03E9-6EF3-48E6-AF28-62CD17336F3A}">
  <dimension ref="A1:H11"/>
  <sheetViews>
    <sheetView workbookViewId="0"/>
  </sheetViews>
  <sheetFormatPr defaultRowHeight="13.2"/>
  <cols>
    <col min="1" max="1" width="13.88671875" customWidth="1"/>
    <col min="2" max="7" width="11.44140625" bestFit="1" customWidth="1"/>
    <col min="8" max="8" width="12.44140625" customWidth="1"/>
  </cols>
  <sheetData>
    <row r="1" spans="1:8" ht="26.4">
      <c r="A1" s="104" t="s">
        <v>155</v>
      </c>
      <c r="B1" s="104" t="s">
        <v>207</v>
      </c>
      <c r="C1" s="104" t="s">
        <v>208</v>
      </c>
      <c r="D1" s="104" t="s">
        <v>209</v>
      </c>
      <c r="E1" s="104" t="s">
        <v>210</v>
      </c>
      <c r="F1" s="104" t="s">
        <v>189</v>
      </c>
      <c r="G1" s="104" t="s">
        <v>194</v>
      </c>
      <c r="H1" s="104" t="s">
        <v>28</v>
      </c>
    </row>
    <row r="2" spans="1:8">
      <c r="A2" s="184" t="s">
        <v>112</v>
      </c>
      <c r="B2" s="203">
        <v>544.54113999999993</v>
      </c>
      <c r="C2" s="203">
        <v>37925.196011999993</v>
      </c>
      <c r="D2" s="203">
        <v>0</v>
      </c>
      <c r="E2" s="203">
        <v>0</v>
      </c>
      <c r="F2" s="203">
        <v>1.7636959999999999</v>
      </c>
      <c r="G2" s="203">
        <v>4051.2097120000039</v>
      </c>
      <c r="H2" s="203">
        <v>42522.71056</v>
      </c>
    </row>
    <row r="3" spans="1:8">
      <c r="A3" s="184" t="s">
        <v>113</v>
      </c>
      <c r="B3" s="203">
        <v>505.078442</v>
      </c>
      <c r="C3" s="203">
        <v>41166.648798000002</v>
      </c>
      <c r="D3" s="203">
        <v>1772.955404</v>
      </c>
      <c r="E3" s="203">
        <v>0</v>
      </c>
      <c r="F3" s="203">
        <v>138.00921199999999</v>
      </c>
      <c r="G3" s="203">
        <v>4369.3363779999991</v>
      </c>
      <c r="H3" s="203">
        <v>47952.028234000005</v>
      </c>
    </row>
    <row r="4" spans="1:8">
      <c r="A4" s="105" t="s">
        <v>114</v>
      </c>
      <c r="B4" s="203">
        <v>297.18277599999999</v>
      </c>
      <c r="C4" s="203">
        <v>59115.562528000002</v>
      </c>
      <c r="D4" s="203">
        <v>7015.9826879999991</v>
      </c>
      <c r="E4" s="203">
        <v>0</v>
      </c>
      <c r="F4" s="203">
        <v>1648.6148359999997</v>
      </c>
      <c r="G4" s="203">
        <v>7165.4559239999826</v>
      </c>
      <c r="H4" s="203">
        <v>75242.798751999988</v>
      </c>
    </row>
    <row r="5" spans="1:8">
      <c r="A5" s="105" t="s">
        <v>115</v>
      </c>
      <c r="B5" s="203">
        <v>459.88373200000001</v>
      </c>
      <c r="C5" s="203">
        <v>87272.307782000003</v>
      </c>
      <c r="D5" s="203">
        <v>7650.6927860000005</v>
      </c>
      <c r="E5" s="203">
        <v>0</v>
      </c>
      <c r="F5" s="203">
        <v>6480.480489999999</v>
      </c>
      <c r="G5" s="203">
        <v>9456.4970280000016</v>
      </c>
      <c r="H5" s="203">
        <v>111319.861818</v>
      </c>
    </row>
    <row r="6" spans="1:8">
      <c r="A6" s="105" t="s">
        <v>116</v>
      </c>
      <c r="B6" s="203">
        <v>186.069928</v>
      </c>
      <c r="C6" s="203">
        <v>144321.03905999998</v>
      </c>
      <c r="D6" s="203">
        <v>7324.4090260000003</v>
      </c>
      <c r="E6" s="203">
        <v>0</v>
      </c>
      <c r="F6" s="203">
        <v>16878.350257999999</v>
      </c>
      <c r="G6" s="203">
        <v>11992.471414000003</v>
      </c>
      <c r="H6" s="203">
        <v>180702.33968599999</v>
      </c>
    </row>
    <row r="7" spans="1:8">
      <c r="A7" s="105" t="s">
        <v>117</v>
      </c>
      <c r="B7" s="203">
        <v>364.20322399999998</v>
      </c>
      <c r="C7" s="203">
        <v>174678.21553599997</v>
      </c>
      <c r="D7" s="203">
        <v>1817.047804</v>
      </c>
      <c r="E7" s="203">
        <v>0</v>
      </c>
      <c r="F7" s="203">
        <v>14307.101951999999</v>
      </c>
      <c r="G7" s="203">
        <v>7707.5719819999958</v>
      </c>
      <c r="H7" s="203">
        <v>198874.14049799999</v>
      </c>
    </row>
    <row r="8" spans="1:8">
      <c r="A8" s="105" t="s">
        <v>118</v>
      </c>
      <c r="B8" s="203">
        <v>254.85407199999997</v>
      </c>
      <c r="C8" s="203">
        <v>197368.16457599998</v>
      </c>
      <c r="D8" s="203">
        <v>0</v>
      </c>
      <c r="E8" s="203">
        <v>0</v>
      </c>
      <c r="F8" s="203">
        <v>12399.885190000001</v>
      </c>
      <c r="G8" s="203">
        <v>15794.11814200001</v>
      </c>
      <c r="H8" s="203">
        <v>225817.02197999999</v>
      </c>
    </row>
    <row r="9" spans="1:8">
      <c r="A9" s="102" t="s">
        <v>34</v>
      </c>
      <c r="B9" s="203">
        <v>140.87521799999999</v>
      </c>
      <c r="C9" s="203">
        <v>447122.95051599992</v>
      </c>
      <c r="D9" s="203">
        <v>98078.032249999989</v>
      </c>
      <c r="E9" s="203">
        <v>8446.3401439999998</v>
      </c>
      <c r="F9" s="203">
        <v>8804.590893999999</v>
      </c>
      <c r="G9" s="203">
        <v>51415.265792000166</v>
      </c>
      <c r="H9" s="203">
        <v>614008.05481400003</v>
      </c>
    </row>
    <row r="10" spans="1:8">
      <c r="A10" s="102" t="s">
        <v>52</v>
      </c>
      <c r="B10" s="203">
        <v>939381.74767800001</v>
      </c>
      <c r="C10" s="203">
        <v>561658.03014199995</v>
      </c>
      <c r="D10" s="203">
        <v>257788.64168199999</v>
      </c>
      <c r="E10" s="203">
        <v>180540.74103999999</v>
      </c>
      <c r="F10" s="203">
        <v>122708.92873799999</v>
      </c>
      <c r="G10" s="203">
        <v>263264.69730000017</v>
      </c>
      <c r="H10" s="203">
        <v>2325342.7865800001</v>
      </c>
    </row>
    <row r="11" spans="1:8">
      <c r="H11" s="7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5" ma:contentTypeDescription="Create a new document." ma:contentTypeScope="" ma:versionID="57dc3235c951814817744eeddbaef84b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d25759a2e0a6c409a5675b9d3245aeb3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962478-6736-46F8-AD75-7EF5A8C15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9FD27-698A-4259-BC06-6D4A65A05AE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7</vt:i4>
      </vt:variant>
    </vt:vector>
  </HeadingPairs>
  <TitlesOfParts>
    <vt:vector size="25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Figure1sa</vt:lpstr>
      <vt:lpstr>Figure 2sa</vt:lpstr>
      <vt:lpstr>Figure 3sa</vt:lpstr>
      <vt:lpstr>Figure 4sa</vt:lpstr>
      <vt:lpstr>Figure 5asa</vt:lpstr>
      <vt:lpstr>Figure 5bsa</vt:lpstr>
      <vt:lpstr>Figure 6sa</vt:lpstr>
      <vt:lpstr>Figure 7sa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Bukowski;Bryn Swearingen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Bukowski, Maria - REE-ERS</cp:lastModifiedBy>
  <cp:revision/>
  <dcterms:created xsi:type="dcterms:W3CDTF">2001-11-13T16:22:15Z</dcterms:created>
  <dcterms:modified xsi:type="dcterms:W3CDTF">2023-12-11T23:30:47Z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</Properties>
</file>