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F06F7F5A-3AB8-4498-AA87-61C2438ADED3}" xr6:coauthVersionLast="47" xr6:coauthVersionMax="47" xr10:uidLastSave="{00000000-0000-0000-0000-000000000000}"/>
  <bookViews>
    <workbookView xWindow="22932" yWindow="4632" windowWidth="23256" windowHeight="1245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81" r:id="rId9"/>
    <sheet name="Figure 2" sheetId="174" r:id="rId10"/>
    <sheet name="Figure 3" sheetId="167" r:id="rId11"/>
    <sheet name="Figure SA-1" sheetId="175" r:id="rId12"/>
    <sheet name="Figure SA-2" sheetId="176" r:id="rId13"/>
    <sheet name="Figure SA-3" sheetId="177" r:id="rId14"/>
    <sheet name="Figure SA-4" sheetId="178" r:id="rId15"/>
    <sheet name="Figure SA-5" sheetId="179" r:id="rId16"/>
    <sheet name="Figure SA-6" sheetId="180" r:id="rId17"/>
  </sheets>
  <definedNames>
    <definedName name="_xlnm.Print_Area" localSheetId="1">'Table 1'!$A$1:$N$40</definedName>
    <definedName name="_xlnm.Print_Area" localSheetId="7">'Table 10'!$A$1:$G$45</definedName>
    <definedName name="_xlnm.Print_Area" localSheetId="2">'Table 2'!$A$1:$J$33</definedName>
    <definedName name="_xlnm.Print_Area" localSheetId="3">'Table 3'!$A$1:$L$46</definedName>
    <definedName name="_xlnm.Print_Area" localSheetId="5">'Table 8'!$A$1:$G$44</definedName>
    <definedName name="_xlnm.Print_Area" localSheetId="6">'Table 9'!$A$1:$I$46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J6" i="1" l="1"/>
  <c r="D8" i="1"/>
  <c r="C19" i="179" l="1"/>
  <c r="E2" i="179"/>
  <c r="E24" i="179"/>
  <c r="B3" i="180" l="1"/>
  <c r="B4" i="180"/>
  <c r="B5" i="180"/>
  <c r="D5" i="180" s="1"/>
  <c r="B6" i="180"/>
  <c r="D6" i="180" s="1"/>
  <c r="B7" i="180"/>
  <c r="B8" i="180"/>
  <c r="B9" i="180"/>
  <c r="B10" i="180"/>
  <c r="B11" i="180"/>
  <c r="B12" i="180"/>
  <c r="D12" i="180" s="1"/>
  <c r="B13" i="180"/>
  <c r="B14" i="180"/>
  <c r="D14" i="180" s="1"/>
  <c r="B15" i="180"/>
  <c r="B16" i="180"/>
  <c r="D16" i="180" s="1"/>
  <c r="B17" i="180"/>
  <c r="D17" i="180" s="1"/>
  <c r="B18" i="180"/>
  <c r="D18" i="180" s="1"/>
  <c r="B19" i="180"/>
  <c r="B20" i="180"/>
  <c r="B21" i="180"/>
  <c r="B22" i="180"/>
  <c r="B23" i="180"/>
  <c r="B24" i="180"/>
  <c r="D24" i="180" s="1"/>
  <c r="B25" i="180"/>
  <c r="B2" i="180"/>
  <c r="D23" i="180"/>
  <c r="D22" i="180"/>
  <c r="D21" i="180"/>
  <c r="D20" i="180"/>
  <c r="D19" i="180"/>
  <c r="D15" i="180"/>
  <c r="D13" i="180"/>
  <c r="D11" i="180"/>
  <c r="D10" i="180"/>
  <c r="D9" i="180"/>
  <c r="D8" i="180"/>
  <c r="D7" i="180"/>
  <c r="D4" i="180"/>
  <c r="D3" i="180"/>
  <c r="D2" i="180"/>
  <c r="C25" i="179"/>
  <c r="C24" i="179"/>
  <c r="E23" i="179"/>
  <c r="C23" i="179"/>
  <c r="E22" i="179" s="1"/>
  <c r="C22" i="179"/>
  <c r="E21" i="179"/>
  <c r="C21" i="179"/>
  <c r="E20" i="179"/>
  <c r="C20" i="179"/>
  <c r="E19" i="179" s="1"/>
  <c r="E18" i="179"/>
  <c r="C18" i="179"/>
  <c r="E17" i="179"/>
  <c r="C17" i="179"/>
  <c r="E16" i="179"/>
  <c r="C16" i="179"/>
  <c r="E15" i="179"/>
  <c r="C15" i="179"/>
  <c r="E14" i="179"/>
  <c r="C14" i="179"/>
  <c r="E13" i="179" s="1"/>
  <c r="C13" i="179"/>
  <c r="E12" i="179"/>
  <c r="C12" i="179"/>
  <c r="E11" i="179"/>
  <c r="C11" i="179"/>
  <c r="E10" i="179"/>
  <c r="C10" i="179"/>
  <c r="E9" i="179"/>
  <c r="C9" i="179"/>
  <c r="E8" i="179"/>
  <c r="C8" i="179"/>
  <c r="E7" i="179" s="1"/>
  <c r="C7" i="179"/>
  <c r="E6" i="179"/>
  <c r="C6" i="179"/>
  <c r="E5" i="179"/>
  <c r="C5" i="179"/>
  <c r="E4" i="179"/>
  <c r="C4" i="179"/>
  <c r="E3" i="179"/>
  <c r="C3" i="179"/>
  <c r="B3" i="177"/>
  <c r="B2" i="177"/>
  <c r="J31" i="9"/>
  <c r="D31" i="9"/>
  <c r="B31" i="9"/>
  <c r="H31" i="2"/>
  <c r="D31" i="2"/>
  <c r="E31" i="2"/>
  <c r="I31" i="2"/>
  <c r="G31" i="2" s="1"/>
  <c r="B31" i="2"/>
  <c r="L38" i="1"/>
  <c r="J38" i="1"/>
  <c r="G38" i="1"/>
  <c r="E31" i="9" l="1"/>
  <c r="K31" i="9" s="1"/>
  <c r="G31" i="9" s="1"/>
  <c r="L6" i="1" l="1"/>
  <c r="G6" i="1"/>
  <c r="H7" i="1"/>
  <c r="M7" i="1"/>
  <c r="H6" i="1"/>
  <c r="M6" i="1" s="1"/>
  <c r="D7" i="1"/>
  <c r="D6" i="1"/>
  <c r="I7" i="2"/>
  <c r="E7" i="2"/>
  <c r="J7" i="2" s="1"/>
  <c r="B7" i="2"/>
  <c r="J6" i="2"/>
  <c r="I6" i="2" s="1"/>
  <c r="H6" i="2"/>
  <c r="D6" i="2"/>
  <c r="E6" i="2" s="1"/>
  <c r="C6" i="2"/>
  <c r="G7" i="9"/>
  <c r="K7" i="9" s="1"/>
  <c r="E7" i="9"/>
  <c r="L7" i="9" s="1"/>
  <c r="B7" i="9"/>
  <c r="L6" i="9"/>
  <c r="J6" i="9"/>
  <c r="H6" i="9"/>
  <c r="D6" i="9"/>
  <c r="C6" i="9"/>
  <c r="N45" i="3"/>
  <c r="H45" i="3"/>
  <c r="H44" i="3"/>
  <c r="N44" i="3" s="1"/>
  <c r="L44" i="3" s="1"/>
  <c r="D45" i="3"/>
  <c r="D44" i="3"/>
  <c r="I32" i="3"/>
  <c r="B32" i="3"/>
  <c r="E32" i="3" s="1"/>
  <c r="I31" i="3"/>
  <c r="E31" i="3"/>
  <c r="J31" i="3" s="1"/>
  <c r="I20" i="3"/>
  <c r="E20" i="3"/>
  <c r="B20" i="3"/>
  <c r="E19" i="3"/>
  <c r="G19" i="3" s="1"/>
  <c r="I19" i="3" s="1"/>
  <c r="J7" i="3"/>
  <c r="B7" i="3"/>
  <c r="E7" i="3" s="1"/>
  <c r="E6" i="3"/>
  <c r="J6" i="3" s="1"/>
  <c r="I6" i="3" s="1"/>
  <c r="O45" i="3" l="1"/>
  <c r="J32" i="3"/>
  <c r="J20" i="3"/>
  <c r="K7" i="3"/>
  <c r="K6" i="1"/>
  <c r="G6" i="2"/>
  <c r="I33" i="3" l="1"/>
  <c r="J30" i="9" l="1"/>
  <c r="H30" i="2"/>
  <c r="L36" i="1"/>
  <c r="D30" i="9"/>
  <c r="D30" i="2"/>
  <c r="G36" i="1"/>
  <c r="J36" i="1"/>
  <c r="B30" i="9" l="1"/>
  <c r="E30" i="9" s="1"/>
  <c r="K30" i="9" s="1"/>
  <c r="G30" i="9" s="1"/>
  <c r="I30" i="9" s="1"/>
  <c r="B30" i="2"/>
  <c r="E30" i="2" s="1"/>
  <c r="I30" i="2" s="1"/>
  <c r="E37" i="1"/>
  <c r="G30" i="2" l="1"/>
  <c r="I8" i="2"/>
  <c r="J8" i="3"/>
  <c r="J29" i="9"/>
  <c r="D29" i="9"/>
  <c r="H29" i="2"/>
  <c r="D29" i="2"/>
  <c r="G35" i="1"/>
  <c r="L35" i="1"/>
  <c r="J35" i="1" l="1"/>
  <c r="B29" i="2"/>
  <c r="E29" i="2" s="1"/>
  <c r="I29" i="2" s="1"/>
  <c r="B29" i="9"/>
  <c r="E29" i="9" s="1"/>
  <c r="K29" i="9" s="1"/>
  <c r="G29" i="9" s="1"/>
  <c r="I29" i="9" s="1"/>
  <c r="G29" i="2" l="1"/>
  <c r="G34" i="1" l="1"/>
  <c r="G37" i="1" s="1"/>
  <c r="H37" i="1" s="1"/>
  <c r="M37" i="1" s="1"/>
  <c r="D28" i="9"/>
  <c r="D28" i="2"/>
  <c r="H28" i="2"/>
  <c r="J28" i="9"/>
  <c r="L34" i="1"/>
  <c r="L37" i="1" s="1"/>
  <c r="B28" i="9" l="1"/>
  <c r="E28" i="9" s="1"/>
  <c r="K28" i="9" s="1"/>
  <c r="G28" i="9" s="1"/>
  <c r="I28" i="9" s="1"/>
  <c r="B28" i="2"/>
  <c r="E28" i="2" s="1"/>
  <c r="I28" i="2" s="1"/>
  <c r="G28" i="2" s="1"/>
  <c r="J34" i="1"/>
  <c r="J37" i="1" s="1"/>
  <c r="K37" i="1" s="1"/>
  <c r="H27" i="2"/>
  <c r="E14" i="1"/>
  <c r="K8" i="9" l="1"/>
  <c r="J27" i="9" l="1"/>
  <c r="D27" i="9"/>
  <c r="D26" i="9"/>
  <c r="D27" i="2"/>
  <c r="E33" i="1"/>
  <c r="J32" i="1"/>
  <c r="L32" i="1" l="1"/>
  <c r="G32" i="1"/>
  <c r="B27" i="2" l="1"/>
  <c r="E27" i="2" s="1"/>
  <c r="I27" i="2" s="1"/>
  <c r="G27" i="2" s="1"/>
  <c r="B27" i="9"/>
  <c r="E27" i="9" s="1"/>
  <c r="K27" i="9" s="1"/>
  <c r="G27" i="9" s="1"/>
  <c r="I27" i="9" s="1"/>
  <c r="B11" i="9"/>
  <c r="B11" i="2"/>
  <c r="L31" i="1" l="1"/>
  <c r="G31" i="1"/>
  <c r="D26" i="2"/>
  <c r="H26" i="2"/>
  <c r="J26" i="9"/>
  <c r="J31" i="1" l="1"/>
  <c r="H23" i="9" l="1"/>
  <c r="B8" i="9" l="1"/>
  <c r="J23" i="9"/>
  <c r="D23" i="9"/>
  <c r="C23" i="9"/>
  <c r="J22" i="9"/>
  <c r="D22" i="9"/>
  <c r="B22" i="9"/>
  <c r="E22" i="9" s="1"/>
  <c r="K22" i="9" s="1"/>
  <c r="J21" i="9"/>
  <c r="D21" i="9"/>
  <c r="B21" i="9"/>
  <c r="J20" i="9"/>
  <c r="D20" i="9"/>
  <c r="B20" i="9"/>
  <c r="E20" i="9" s="1"/>
  <c r="K20" i="9" s="1"/>
  <c r="J19" i="9"/>
  <c r="D19" i="9"/>
  <c r="B19" i="9"/>
  <c r="J18" i="9"/>
  <c r="D18" i="9"/>
  <c r="B18" i="9"/>
  <c r="E18" i="9" s="1"/>
  <c r="K18" i="9" s="1"/>
  <c r="G18" i="9" s="1"/>
  <c r="I18" i="9" s="1"/>
  <c r="J17" i="9"/>
  <c r="D17" i="9"/>
  <c r="B17" i="9"/>
  <c r="J16" i="9"/>
  <c r="D16" i="9"/>
  <c r="B16" i="9"/>
  <c r="E16" i="9" s="1"/>
  <c r="K16" i="9" s="1"/>
  <c r="J15" i="9"/>
  <c r="D15" i="9"/>
  <c r="B15" i="9"/>
  <c r="J14" i="9"/>
  <c r="D14" i="9"/>
  <c r="B14" i="9"/>
  <c r="E14" i="9" s="1"/>
  <c r="K14" i="9" s="1"/>
  <c r="J13" i="9"/>
  <c r="D13" i="9"/>
  <c r="B13" i="9"/>
  <c r="J12" i="9"/>
  <c r="D12" i="9"/>
  <c r="B12" i="9"/>
  <c r="E12" i="9" s="1"/>
  <c r="K12" i="9" s="1"/>
  <c r="J11" i="9"/>
  <c r="D11" i="9"/>
  <c r="B26" i="2"/>
  <c r="E26" i="2" s="1"/>
  <c r="I26" i="2" s="1"/>
  <c r="G26" i="2" s="1"/>
  <c r="H23" i="2"/>
  <c r="D23" i="2"/>
  <c r="C23" i="2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H15" i="2"/>
  <c r="D15" i="2"/>
  <c r="B15" i="2"/>
  <c r="E15" i="2" s="1"/>
  <c r="I15" i="2" s="1"/>
  <c r="G15" i="2" s="1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E11" i="2"/>
  <c r="I11" i="2" s="1"/>
  <c r="E16" i="2" l="1"/>
  <c r="I16" i="2" s="1"/>
  <c r="E19" i="9"/>
  <c r="K19" i="9" s="1"/>
  <c r="G19" i="9" s="1"/>
  <c r="I19" i="9" s="1"/>
  <c r="E19" i="2"/>
  <c r="G16" i="2"/>
  <c r="E13" i="9"/>
  <c r="K13" i="9" s="1"/>
  <c r="G12" i="9"/>
  <c r="I12" i="9" s="1"/>
  <c r="G16" i="9"/>
  <c r="I16" i="9" s="1"/>
  <c r="G20" i="9"/>
  <c r="I20" i="9" s="1"/>
  <c r="E14" i="2"/>
  <c r="I14" i="2" s="1"/>
  <c r="G14" i="2" s="1"/>
  <c r="E18" i="2"/>
  <c r="I18" i="2" s="1"/>
  <c r="G18" i="2" s="1"/>
  <c r="E22" i="2"/>
  <c r="I22" i="2" s="1"/>
  <c r="G22" i="2" s="1"/>
  <c r="G13" i="9"/>
  <c r="I13" i="9" s="1"/>
  <c r="E23" i="2"/>
  <c r="I19" i="2"/>
  <c r="G19" i="2" s="1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G11" i="9" s="1"/>
  <c r="E23" i="9"/>
  <c r="E13" i="2"/>
  <c r="I13" i="2" s="1"/>
  <c r="G13" i="2" s="1"/>
  <c r="E17" i="2"/>
  <c r="I17" i="2" s="1"/>
  <c r="G17" i="2" s="1"/>
  <c r="E21" i="2"/>
  <c r="I21" i="2" s="1"/>
  <c r="G21" i="2" s="1"/>
  <c r="J17" i="1"/>
  <c r="G15" i="1"/>
  <c r="B41" i="1"/>
  <c r="E46" i="3"/>
  <c r="N46" i="3"/>
  <c r="E6" i="9" l="1"/>
  <c r="K6" i="9" s="1"/>
  <c r="G6" i="9" s="1"/>
  <c r="I6" i="9" s="1"/>
  <c r="G23" i="9"/>
  <c r="I23" i="2"/>
  <c r="I23" i="9"/>
  <c r="G23" i="2"/>
  <c r="K23" i="9"/>
  <c r="I11" i="9"/>
  <c r="G30" i="1"/>
  <c r="G33" i="1" l="1"/>
  <c r="L30" i="1"/>
  <c r="L33" i="1" s="1"/>
  <c r="M33" i="1" l="1"/>
  <c r="H33" i="1"/>
  <c r="J30" i="1"/>
  <c r="J33" i="1" s="1"/>
  <c r="K33" i="1" l="1"/>
  <c r="L27" i="1"/>
  <c r="G27" i="1"/>
  <c r="L25" i="1"/>
  <c r="J25" i="1"/>
  <c r="G25" i="1"/>
  <c r="L24" i="1"/>
  <c r="J24" i="1"/>
  <c r="G24" i="1"/>
  <c r="L23" i="1"/>
  <c r="J23" i="1"/>
  <c r="G23" i="1"/>
  <c r="E26" i="1"/>
  <c r="L21" i="1"/>
  <c r="J21" i="1"/>
  <c r="G21" i="1"/>
  <c r="L20" i="1"/>
  <c r="J20" i="1"/>
  <c r="G20" i="1"/>
  <c r="L19" i="1"/>
  <c r="J19" i="1"/>
  <c r="G19" i="1"/>
  <c r="N18" i="1"/>
  <c r="E22" i="1" s="1"/>
  <c r="L17" i="1"/>
  <c r="G17" i="1"/>
  <c r="L16" i="1"/>
  <c r="J16" i="1"/>
  <c r="G16" i="1"/>
  <c r="L15" i="1"/>
  <c r="J15" i="1"/>
  <c r="N14" i="1"/>
  <c r="E18" i="1" s="1"/>
  <c r="L13" i="1"/>
  <c r="J13" i="1"/>
  <c r="G13" i="1"/>
  <c r="L12" i="1"/>
  <c r="J12" i="1"/>
  <c r="G12" i="1"/>
  <c r="L11" i="1"/>
  <c r="J11" i="1"/>
  <c r="G11" i="1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J14" i="1"/>
  <c r="K14" i="1" l="1"/>
  <c r="K26" i="1"/>
  <c r="K18" i="1"/>
  <c r="J27" i="1"/>
  <c r="K22" i="1"/>
  <c r="M8" i="1" l="1"/>
  <c r="I21" i="3" l="1"/>
  <c r="B26" i="9" l="1"/>
  <c r="E26" i="9" l="1"/>
  <c r="K26" i="9" s="1"/>
  <c r="G26" i="9" s="1"/>
  <c r="I26" i="9" s="1"/>
  <c r="B47" i="6" l="1"/>
  <c r="B47" i="5"/>
  <c r="B46" i="4"/>
  <c r="B50" i="3"/>
  <c r="B34" i="9"/>
  <c r="B34" i="2"/>
  <c r="E7" i="1" l="1"/>
  <c r="N7" i="1" s="1"/>
  <c r="E8" i="1" s="1"/>
  <c r="E45" i="3" l="1"/>
  <c r="H46" i="3" l="1"/>
  <c r="O46" i="3" s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B8" i="2" l="1"/>
  <c r="E8" i="2" s="1"/>
  <c r="J8" i="2" s="1"/>
</calcChain>
</file>

<file path=xl/sharedStrings.xml><?xml version="1.0" encoding="utf-8"?>
<sst xmlns="http://schemas.openxmlformats.org/spreadsheetml/2006/main" count="636" uniqueCount="219">
  <si>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</si>
  <si>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</si>
  <si>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</si>
  <si>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</si>
  <si>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</si>
  <si>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</si>
  <si>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</si>
  <si>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</si>
  <si>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</si>
  <si>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</si>
  <si>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</si>
  <si>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</si>
  <si>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</si>
  <si>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</si>
  <si>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</si>
  <si>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</si>
  <si>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</si>
  <si>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</si>
  <si>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</si>
  <si>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</si>
  <si>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</si>
  <si>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</si>
  <si>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</si>
  <si>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</si>
  <si>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</si>
  <si>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</si>
  <si>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</si>
  <si>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</si>
  <si>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</si>
  <si>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</si>
  <si>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</si>
  <si>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</si>
  <si>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</si>
  <si>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</si>
  <si>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</si>
  <si>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</si>
  <si>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</si>
  <si>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</si>
  <si>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</si>
  <si>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</si>
  <si>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</si>
  <si>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</si>
  <si>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</si>
  <si>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</si>
  <si>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</si>
  <si>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</si>
  <si>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</si>
  <si>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</si>
  <si>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</si>
  <si>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</si>
  <si>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</si>
  <si>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</si>
  <si>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</si>
  <si>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</si>
  <si>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</si>
  <si>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</si>
  <si>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</si>
  <si>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</si>
  <si>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</si>
  <si>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</si>
  <si>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</si>
  <si>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</si>
  <si>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</si>
  <si>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</si>
  <si>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</si>
  <si>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</si>
  <si>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</si>
  <si>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</si>
  <si>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</si>
  <si>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</si>
  <si>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</si>
  <si>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</si>
  <si>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</si>
  <si>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</si>
  <si>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</si>
  <si>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</si>
  <si>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</si>
  <si>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</si>
  <si>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</si>
  <si>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</si>
  <si>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</si>
  <si>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</si>
  <si>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</si>
  <si>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</si>
  <si>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</si>
  <si>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</si>
  <si>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</si>
  <si>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</si>
  <si>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</si>
  <si>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</si>
  <si>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</si>
  <si>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</si>
  <si>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</si>
  <si>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</si>
  <si>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</si>
  <si>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</si>
  <si>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</si>
  <si>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</si>
  <si>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</si>
  <si>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</si>
  <si>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</si>
  <si>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</si>
  <si>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</si>
  <si>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</si>
  <si>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</si>
  <si>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</si>
  <si>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</si>
  <si>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</si>
  <si>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</si>
  <si>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</si>
  <si>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</si>
  <si>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</si>
  <si>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</si>
  <si>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</si>
  <si>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</si>
  <si>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</si>
  <si>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</si>
  <si>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</si>
  <si>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</si>
  <si>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</si>
  <si>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</si>
  <si>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</si>
  <si>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</si>
  <si>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</si>
  <si>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</si>
  <si>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</si>
  <si>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</si>
  <si>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</si>
  <si>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</si>
  <si>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</si>
  <si>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</si>
  <si>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</si>
  <si>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</si>
  <si>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</si>
  <si>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</si>
  <si>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</si>
  <si>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</si>
  <si>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</si>
  <si>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</si>
  <si>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</si>
  <si>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</si>
  <si>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</si>
  <si>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</si>
  <si>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</si>
  <si>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</si>
  <si>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</si>
  <si>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</si>
  <si>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</si>
  <si>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</si>
  <si>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</si>
  <si>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</si>
  <si>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</si>
  <si>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</si>
  <si>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</si>
  <si>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2023/24*</t>
  </si>
  <si>
    <t xml:space="preserve">Sunflowerseed oil </t>
  </si>
  <si>
    <t>2024/25*</t>
  </si>
  <si>
    <t>Palm oil</t>
  </si>
  <si>
    <t>Rapeseed oil</t>
  </si>
  <si>
    <t>Soybean oil</t>
  </si>
  <si>
    <t>Peanut</t>
  </si>
  <si>
    <t>Rapeseed</t>
  </si>
  <si>
    <t>Soybean</t>
  </si>
  <si>
    <t>Sunflowerseed</t>
  </si>
  <si>
    <r>
      <t>2024/25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</si>
  <si>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</si>
  <si>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</si>
  <si>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r>
      <t>2024/25</t>
    </r>
    <r>
      <rPr>
        <vertAlign val="superscript"/>
        <sz val="11"/>
        <rFont val="Arial"/>
        <family val="2"/>
      </rPr>
      <t>7</t>
    </r>
  </si>
  <si>
    <t>Year</t>
  </si>
  <si>
    <t>Seeding rate</t>
  </si>
  <si>
    <t>Row width</t>
  </si>
  <si>
    <t>State</t>
  </si>
  <si>
    <t>Seeding rate (seeds per acre)</t>
  </si>
  <si>
    <t>MISSISSIPPI</t>
  </si>
  <si>
    <t>LOUISIANA</t>
  </si>
  <si>
    <t>KANSAS</t>
  </si>
  <si>
    <t>WISCONSIN</t>
  </si>
  <si>
    <t>IOWA</t>
  </si>
  <si>
    <t>NORTH CAROLINA</t>
  </si>
  <si>
    <t>MISSOURI</t>
  </si>
  <si>
    <t>SOUTH DAKOTA</t>
  </si>
  <si>
    <t>TENNESSEE</t>
  </si>
  <si>
    <t>ILLINOIS</t>
  </si>
  <si>
    <t>MINNESOTA</t>
  </si>
  <si>
    <t>VIRGINIA</t>
  </si>
  <si>
    <t>NEBRASKA</t>
  </si>
  <si>
    <t>ARKANSAS</t>
  </si>
  <si>
    <t>MICHIGAN</t>
  </si>
  <si>
    <t>KENTUCKY</t>
  </si>
  <si>
    <t>INDIANA</t>
  </si>
  <si>
    <t>NORTH DAKOTA</t>
  </si>
  <si>
    <t>OHIO</t>
  </si>
  <si>
    <t>Drilled or broadcast</t>
  </si>
  <si>
    <t>Planted in conventional rows</t>
  </si>
  <si>
    <t>Seed cost</t>
  </si>
  <si>
    <t>Seeding rate (bushels per acre)</t>
  </si>
  <si>
    <t>Planted acres (Million acres)</t>
  </si>
  <si>
    <t>Seed use (Million bushels)</t>
  </si>
  <si>
    <t>2001/02</t>
  </si>
  <si>
    <t>-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</si>
  <si>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</si>
  <si>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</si>
  <si>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</si>
  <si>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</si>
  <si>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</si>
  <si>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</si>
  <si>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</si>
  <si>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</si>
  <si>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New seed use</t>
  </si>
  <si>
    <t>Old seed use</t>
  </si>
  <si>
    <t>New residual</t>
  </si>
  <si>
    <t>Old residual</t>
  </si>
  <si>
    <t>2024/25</t>
  </si>
  <si>
    <t>Production Marketing year</t>
  </si>
  <si>
    <t>Other</t>
  </si>
  <si>
    <t xml:space="preserve">Total crush </t>
  </si>
  <si>
    <t>2023*</t>
  </si>
  <si>
    <t>2024*</t>
  </si>
  <si>
    <t>Local year (January-December)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</si>
</sst>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_(* #,##0.0_);_(* \(#,##0.0\);_(* &quot;-&quot;_);_(@_)"/>
    <numFmt numFmtId="178" formatCode="_(* #,##0.000_);_(* \(#,##0.000\);_(* &quot;-&quot;???_);_(@_)"/>
    <numFmt numFmtId="179" formatCode="_(* #,##0.00_);_(* \(#,##0.00\);_(* &quot;-&quot;_);_(@_)"/>
    <numFmt numFmtId="180" formatCode="#,##0.00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2" fillId="0" borderId="0"/>
    <xf numFmtId="0" fontId="42" fillId="0" borderId="0"/>
    <xf numFmtId="0" fontId="42" fillId="0" borderId="0"/>
    <xf numFmtId="0" fontId="53" fillId="0" borderId="0"/>
    <xf numFmtId="9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55" fillId="0" borderId="0"/>
    <xf numFmtId="0" fontId="40" fillId="0" borderId="0"/>
    <xf numFmtId="0" fontId="39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0" fontId="34" fillId="0" borderId="0"/>
    <xf numFmtId="43" fontId="34" fillId="0" borderId="0" applyFont="0" applyFill="0" applyBorder="0" applyAlignment="0" applyProtection="0"/>
    <xf numFmtId="0" fontId="33" fillId="0" borderId="0"/>
    <xf numFmtId="44" fontId="4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65" fillId="0" borderId="0"/>
    <xf numFmtId="0" fontId="3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42" fillId="0" borderId="0" xfId="8"/>
    <xf numFmtId="0" fontId="43" fillId="0" borderId="0" xfId="8" applyFont="1"/>
    <xf numFmtId="0" fontId="48" fillId="0" borderId="0" xfId="8" applyFont="1"/>
    <xf numFmtId="0" fontId="49" fillId="0" borderId="0" xfId="8" applyFont="1"/>
    <xf numFmtId="169" fontId="50" fillId="0" borderId="0" xfId="1" applyNumberFormat="1" applyFont="1" applyFill="1" applyBorder="1" applyAlignment="1">
      <alignment horizontal="center"/>
    </xf>
    <xf numFmtId="169" fontId="50" fillId="0" borderId="0" xfId="1" applyNumberFormat="1" applyFont="1" applyFill="1" applyBorder="1" applyAlignment="1">
      <alignment horizontal="right" indent="1"/>
    </xf>
    <xf numFmtId="0" fontId="56" fillId="0" borderId="0" xfId="7" applyFont="1" applyAlignment="1">
      <alignment horizontal="left"/>
    </xf>
    <xf numFmtId="0" fontId="57" fillId="0" borderId="0" xfId="5" applyFont="1" applyAlignment="1" applyProtection="1"/>
    <xf numFmtId="14" fontId="56" fillId="0" borderId="0" xfId="7" applyNumberFormat="1" applyFont="1" applyAlignment="1">
      <alignment horizontal="left"/>
    </xf>
    <xf numFmtId="0" fontId="57" fillId="0" borderId="0" xfId="4" applyFont="1" applyAlignment="1" applyProtection="1"/>
    <xf numFmtId="0" fontId="50" fillId="0" borderId="0" xfId="7" quotePrefix="1" applyFont="1" applyAlignment="1">
      <alignment horizontal="left"/>
    </xf>
    <xf numFmtId="0" fontId="50" fillId="0" borderId="0" xfId="8" applyFont="1" applyAlignment="1">
      <alignment wrapText="1"/>
    </xf>
    <xf numFmtId="169" fontId="50" fillId="0" borderId="0" xfId="1" applyNumberFormat="1" applyFont="1" applyFill="1" applyBorder="1" applyAlignment="1">
      <alignment horizontal="right"/>
    </xf>
    <xf numFmtId="0" fontId="50" fillId="0" borderId="1" xfId="0" applyFont="1" applyBorder="1"/>
    <xf numFmtId="0" fontId="50" fillId="0" borderId="0" xfId="0" applyFont="1"/>
    <xf numFmtId="0" fontId="50" fillId="0" borderId="2" xfId="0" applyFont="1" applyBorder="1" applyAlignment="1">
      <alignment horizontal="right"/>
    </xf>
    <xf numFmtId="0" fontId="50" fillId="0" borderId="0" xfId="0" applyFont="1" applyAlignment="1">
      <alignment horizontal="center"/>
    </xf>
    <xf numFmtId="0" fontId="0" fillId="0" borderId="2" xfId="0" applyBorder="1"/>
    <xf numFmtId="0" fontId="50" fillId="0" borderId="2" xfId="0" applyFont="1" applyBorder="1" applyAlignment="1">
      <alignment horizontal="left"/>
    </xf>
    <xf numFmtId="0" fontId="50" fillId="0" borderId="0" xfId="0" applyFont="1" applyAlignment="1">
      <alignment horizontal="right"/>
    </xf>
    <xf numFmtId="16" fontId="50" fillId="0" borderId="1" xfId="0" quotePrefix="1" applyNumberFormat="1" applyFont="1" applyBorder="1"/>
    <xf numFmtId="16" fontId="50" fillId="0" borderId="1" xfId="0" applyNumberFormat="1" applyFont="1" applyBorder="1"/>
    <xf numFmtId="0" fontId="50" fillId="0" borderId="1" xfId="0" applyFont="1" applyBorder="1" applyAlignment="1">
      <alignment horizontal="center"/>
    </xf>
    <xf numFmtId="0" fontId="50" fillId="0" borderId="1" xfId="0" applyFont="1" applyBorder="1" applyAlignment="1">
      <alignment horizontal="right"/>
    </xf>
    <xf numFmtId="0" fontId="50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1" fillId="0" borderId="0" xfId="0" quotePrefix="1" applyFont="1" applyAlignment="1">
      <alignment horizontal="right"/>
    </xf>
    <xf numFmtId="3" fontId="50" fillId="0" borderId="0" xfId="1" applyNumberFormat="1" applyFont="1" applyFill="1" applyBorder="1" applyAlignment="1">
      <alignment horizontal="right" indent="1"/>
    </xf>
    <xf numFmtId="164" fontId="50" fillId="0" borderId="0" xfId="1" applyNumberFormat="1" applyFont="1" applyFill="1" applyBorder="1"/>
    <xf numFmtId="164" fontId="50" fillId="0" borderId="0" xfId="1" applyNumberFormat="1" applyFont="1" applyFill="1" applyBorder="1" applyAlignment="1">
      <alignment horizontal="right"/>
    </xf>
    <xf numFmtId="0" fontId="56" fillId="0" borderId="0" xfId="0" applyFont="1"/>
    <xf numFmtId="169" fontId="50" fillId="0" borderId="0" xfId="1" quotePrefix="1" applyNumberFormat="1" applyFont="1" applyFill="1" applyBorder="1" applyAlignment="1">
      <alignment horizontal="right"/>
    </xf>
    <xf numFmtId="164" fontId="50" fillId="0" borderId="0" xfId="1" applyNumberFormat="1" applyFont="1" applyFill="1" applyBorder="1" applyAlignment="1">
      <alignment horizontal="center"/>
    </xf>
    <xf numFmtId="164" fontId="50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50" fillId="0" borderId="0" xfId="1" applyNumberFormat="1" applyFont="1" applyFill="1"/>
    <xf numFmtId="14" fontId="50" fillId="0" borderId="0" xfId="0" applyNumberFormat="1" applyFont="1" applyAlignment="1">
      <alignment horizontal="left"/>
    </xf>
    <xf numFmtId="3" fontId="50" fillId="0" borderId="0" xfId="1" applyNumberFormat="1" applyFont="1" applyFill="1" applyAlignment="1">
      <alignment horizontal="right" indent="2"/>
    </xf>
    <xf numFmtId="3" fontId="50" fillId="0" borderId="0" xfId="1" applyNumberFormat="1" applyFont="1" applyFill="1" applyAlignment="1">
      <alignment horizontal="right" indent="1"/>
    </xf>
    <xf numFmtId="3" fontId="50" fillId="0" borderId="0" xfId="1" applyNumberFormat="1" applyFont="1" applyFill="1" applyAlignment="1">
      <alignment horizontal="center"/>
    </xf>
    <xf numFmtId="169" fontId="50" fillId="0" borderId="0" xfId="1" applyNumberFormat="1" applyFont="1" applyFill="1" applyBorder="1" applyAlignment="1">
      <alignment horizontal="right" indent="2"/>
    </xf>
    <xf numFmtId="0" fontId="52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50" fillId="0" borderId="1" xfId="1" applyNumberFormat="1" applyFont="1" applyFill="1" applyBorder="1" applyAlignment="1">
      <alignment horizontal="right"/>
    </xf>
    <xf numFmtId="16" fontId="50" fillId="0" borderId="0" xfId="0" applyNumberFormat="1" applyFont="1"/>
    <xf numFmtId="0" fontId="51" fillId="0" borderId="0" xfId="0" applyFont="1" applyAlignment="1">
      <alignment horizontal="center"/>
    </xf>
    <xf numFmtId="2" fontId="50" fillId="0" borderId="0" xfId="0" applyNumberFormat="1" applyFont="1" applyAlignment="1">
      <alignment horizontal="right" indent="2"/>
    </xf>
    <xf numFmtId="170" fontId="50" fillId="0" borderId="0" xfId="0" applyNumberFormat="1" applyFont="1"/>
    <xf numFmtId="43" fontId="50" fillId="0" borderId="0" xfId="1" quotePrefix="1" applyFont="1" applyFill="1" applyBorder="1" applyAlignment="1">
      <alignment horizontal="center"/>
    </xf>
    <xf numFmtId="166" fontId="50" fillId="0" borderId="0" xfId="1" quotePrefix="1" applyNumberFormat="1" applyFont="1" applyFill="1" applyBorder="1" applyAlignment="1">
      <alignment horizontal="center"/>
    </xf>
    <xf numFmtId="43" fontId="50" fillId="0" borderId="0" xfId="1" applyFont="1" applyFill="1" applyBorder="1" applyAlignment="1">
      <alignment horizontal="center"/>
    </xf>
    <xf numFmtId="0" fontId="56" fillId="0" borderId="0" xfId="0" quotePrefix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indent="1"/>
    </xf>
    <xf numFmtId="0" fontId="50" fillId="0" borderId="3" xfId="0" applyFont="1" applyBorder="1" applyAlignment="1">
      <alignment horizontal="center"/>
    </xf>
    <xf numFmtId="0" fontId="50" fillId="0" borderId="1" xfId="0" applyFont="1" applyBorder="1" applyAlignment="1">
      <alignment horizontal="left"/>
    </xf>
    <xf numFmtId="0" fontId="51" fillId="0" borderId="3" xfId="0" quotePrefix="1" applyFont="1" applyBorder="1"/>
    <xf numFmtId="0" fontId="51" fillId="0" borderId="3" xfId="0" applyFont="1" applyBorder="1"/>
    <xf numFmtId="2" fontId="50" fillId="0" borderId="0" xfId="0" applyNumberFormat="1" applyFont="1" applyAlignment="1">
      <alignment horizontal="center"/>
    </xf>
    <xf numFmtId="43" fontId="50" fillId="0" borderId="0" xfId="0" applyNumberFormat="1" applyFont="1"/>
    <xf numFmtId="0" fontId="45" fillId="0" borderId="0" xfId="0" applyFont="1"/>
    <xf numFmtId="2" fontId="0" fillId="0" borderId="0" xfId="0" applyNumberFormat="1"/>
    <xf numFmtId="165" fontId="50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54" fillId="0" borderId="0" xfId="0" applyFont="1" applyAlignment="1">
      <alignment vertical="center"/>
    </xf>
    <xf numFmtId="2" fontId="50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50" fillId="0" borderId="3" xfId="0" applyFont="1" applyBorder="1"/>
    <xf numFmtId="165" fontId="50" fillId="0" borderId="0" xfId="1" applyNumberFormat="1" applyFont="1" applyFill="1"/>
    <xf numFmtId="37" fontId="50" fillId="0" borderId="0" xfId="1" applyNumberFormat="1" applyFont="1" applyFill="1" applyBorder="1" applyAlignment="1">
      <alignment horizontal="center"/>
    </xf>
    <xf numFmtId="165" fontId="50" fillId="0" borderId="0" xfId="1" applyNumberFormat="1" applyFont="1" applyFill="1" applyBorder="1"/>
    <xf numFmtId="9" fontId="50" fillId="0" borderId="0" xfId="12" applyFont="1" applyFill="1"/>
    <xf numFmtId="0" fontId="51" fillId="0" borderId="4" xfId="0" applyFont="1" applyBorder="1" applyAlignment="1">
      <alignment horizontal="center"/>
    </xf>
    <xf numFmtId="14" fontId="50" fillId="0" borderId="0" xfId="0" applyNumberFormat="1" applyFont="1" applyAlignment="1">
      <alignment horizontal="right" indent="1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169" fontId="50" fillId="0" borderId="0" xfId="1" applyNumberFormat="1" applyFont="1" applyFill="1" applyAlignment="1">
      <alignment horizontal="center"/>
    </xf>
    <xf numFmtId="0" fontId="52" fillId="0" borderId="3" xfId="0" applyFont="1" applyBorder="1"/>
    <xf numFmtId="164" fontId="50" fillId="0" borderId="3" xfId="0" applyNumberFormat="1" applyFont="1" applyBorder="1"/>
    <xf numFmtId="171" fontId="0" fillId="0" borderId="0" xfId="1" applyNumberFormat="1" applyFont="1" applyFill="1" applyBorder="1"/>
    <xf numFmtId="0" fontId="41" fillId="0" borderId="0" xfId="8" applyFont="1"/>
    <xf numFmtId="0" fontId="41" fillId="0" borderId="0" xfId="0" applyFont="1"/>
    <xf numFmtId="4" fontId="59" fillId="0" borderId="0" xfId="0" applyNumberFormat="1" applyFont="1"/>
    <xf numFmtId="172" fontId="45" fillId="0" borderId="0" xfId="12" applyNumberFormat="1" applyFont="1" applyFill="1"/>
    <xf numFmtId="4" fontId="0" fillId="0" borderId="0" xfId="0" applyNumberFormat="1"/>
    <xf numFmtId="173" fontId="59" fillId="0" borderId="0" xfId="0" applyNumberFormat="1" applyFont="1"/>
    <xf numFmtId="164" fontId="50" fillId="2" borderId="0" xfId="1" applyNumberFormat="1" applyFont="1" applyFill="1" applyBorder="1" applyAlignment="1">
      <alignment horizontal="center"/>
    </xf>
    <xf numFmtId="2" fontId="58" fillId="0" borderId="0" xfId="0" applyNumberFormat="1" applyFont="1" applyAlignment="1">
      <alignment horizontal="center"/>
    </xf>
    <xf numFmtId="37" fontId="50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58" fillId="0" borderId="0" xfId="0" applyNumberFormat="1" applyFont="1" applyAlignment="1">
      <alignment horizontal="right" indent="2"/>
    </xf>
    <xf numFmtId="9" fontId="0" fillId="0" borderId="0" xfId="12" applyFont="1"/>
    <xf numFmtId="3" fontId="58" fillId="0" borderId="0" xfId="1" applyNumberFormat="1" applyFont="1" applyFill="1" applyBorder="1" applyAlignment="1">
      <alignment horizontal="right"/>
    </xf>
    <xf numFmtId="3" fontId="41" fillId="0" borderId="0" xfId="0" applyNumberFormat="1" applyFont="1"/>
    <xf numFmtId="3" fontId="50" fillId="0" borderId="0" xfId="1" quotePrefix="1" applyNumberFormat="1" applyFont="1" applyFill="1" applyBorder="1" applyAlignment="1">
      <alignment horizontal="right"/>
    </xf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50" fillId="0" borderId="0" xfId="1" applyNumberFormat="1" applyFont="1" applyAlignment="1">
      <alignment horizontal="right" indent="1"/>
    </xf>
    <xf numFmtId="167" fontId="50" fillId="0" borderId="0" xfId="0" applyNumberFormat="1" applyFont="1"/>
    <xf numFmtId="169" fontId="58" fillId="0" borderId="0" xfId="1" applyNumberFormat="1" applyFont="1" applyFill="1" applyBorder="1" applyAlignment="1">
      <alignment horizontal="right" indent="1"/>
    </xf>
    <xf numFmtId="0" fontId="62" fillId="0" borderId="0" xfId="0" applyFont="1"/>
    <xf numFmtId="169" fontId="50" fillId="0" borderId="0" xfId="1" applyNumberFormat="1" applyFont="1" applyFill="1" applyAlignment="1">
      <alignment horizontal="right" indent="1"/>
    </xf>
    <xf numFmtId="172" fontId="50" fillId="0" borderId="0" xfId="12" applyNumberFormat="1" applyFont="1" applyFill="1" applyBorder="1"/>
    <xf numFmtId="164" fontId="58" fillId="0" borderId="0" xfId="1" applyNumberFormat="1" applyFont="1"/>
    <xf numFmtId="169" fontId="50" fillId="2" borderId="0" xfId="1" applyNumberFormat="1" applyFont="1" applyFill="1" applyBorder="1" applyAlignment="1">
      <alignment horizontal="right" indent="2"/>
    </xf>
    <xf numFmtId="169" fontId="50" fillId="2" borderId="0" xfId="1" applyNumberFormat="1" applyFont="1" applyFill="1" applyBorder="1" applyAlignment="1">
      <alignment horizontal="right" indent="1"/>
    </xf>
    <xf numFmtId="169" fontId="63" fillId="0" borderId="0" xfId="1" applyNumberFormat="1" applyFont="1" applyFill="1" applyBorder="1" applyAlignment="1">
      <alignment horizontal="right"/>
    </xf>
    <xf numFmtId="41" fontId="60" fillId="0" borderId="0" xfId="33" applyNumberFormat="1" applyFont="1" applyFill="1"/>
    <xf numFmtId="167" fontId="50" fillId="0" borderId="0" xfId="0" applyNumberFormat="1" applyFont="1" applyAlignment="1">
      <alignment horizontal="center"/>
    </xf>
    <xf numFmtId="165" fontId="50" fillId="0" borderId="0" xfId="1" applyNumberFormat="1" applyFont="1" applyFill="1" applyAlignment="1">
      <alignment horizontal="left"/>
    </xf>
    <xf numFmtId="165" fontId="50" fillId="0" borderId="0" xfId="1" applyNumberFormat="1" applyFont="1" applyFill="1" applyAlignment="1">
      <alignment horizontal="center"/>
    </xf>
    <xf numFmtId="169" fontId="58" fillId="0" borderId="0" xfId="1" applyNumberFormat="1" applyFont="1" applyFill="1" applyBorder="1" applyAlignment="1">
      <alignment horizontal="right"/>
    </xf>
    <xf numFmtId="37" fontId="50" fillId="0" borderId="0" xfId="1" applyNumberFormat="1" applyFont="1" applyFill="1" applyBorder="1" applyAlignment="1">
      <alignment horizontal="right" indent="2"/>
    </xf>
    <xf numFmtId="37" fontId="50" fillId="0" borderId="0" xfId="1" applyNumberFormat="1" applyFont="1" applyFill="1" applyBorder="1" applyAlignment="1">
      <alignment horizontal="right" indent="1"/>
    </xf>
    <xf numFmtId="37" fontId="50" fillId="0" borderId="0" xfId="0" applyNumberFormat="1" applyFont="1"/>
    <xf numFmtId="37" fontId="50" fillId="0" borderId="0" xfId="1" applyNumberFormat="1" applyFont="1" applyFill="1" applyAlignment="1">
      <alignment horizontal="center"/>
    </xf>
    <xf numFmtId="1" fontId="50" fillId="0" borderId="0" xfId="0" applyNumberFormat="1" applyFont="1" applyAlignment="1">
      <alignment horizontal="center"/>
    </xf>
    <xf numFmtId="37" fontId="0" fillId="0" borderId="0" xfId="0" applyNumberFormat="1"/>
    <xf numFmtId="43" fontId="50" fillId="0" borderId="3" xfId="0" applyNumberFormat="1" applyFont="1" applyBorder="1"/>
    <xf numFmtId="0" fontId="0" fillId="0" borderId="3" xfId="0" applyBorder="1"/>
    <xf numFmtId="168" fontId="50" fillId="0" borderId="3" xfId="0" applyNumberFormat="1" applyFont="1" applyBorder="1"/>
    <xf numFmtId="164" fontId="58" fillId="0" borderId="0" xfId="1" applyNumberFormat="1" applyFont="1" applyAlignment="1">
      <alignment horizontal="right"/>
    </xf>
    <xf numFmtId="165" fontId="58" fillId="0" borderId="0" xfId="1" applyNumberFormat="1" applyFont="1" applyFill="1"/>
    <xf numFmtId="165" fontId="41" fillId="0" borderId="0" xfId="74" applyNumberFormat="1" applyFont="1"/>
    <xf numFmtId="0" fontId="60" fillId="0" borderId="0" xfId="75" applyFont="1"/>
    <xf numFmtId="14" fontId="60" fillId="0" borderId="0" xfId="75" applyNumberFormat="1" applyFont="1"/>
    <xf numFmtId="164" fontId="50" fillId="0" borderId="0" xfId="1" applyNumberFormat="1" applyFont="1" applyFill="1" applyBorder="1" applyAlignment="1">
      <alignment horizontal="right" indent="1"/>
    </xf>
    <xf numFmtId="0" fontId="50" fillId="0" borderId="2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3" xfId="0" quotePrefix="1" applyFont="1" applyBorder="1" applyAlignment="1">
      <alignment horizontal="center"/>
    </xf>
    <xf numFmtId="0" fontId="61" fillId="0" borderId="1" xfId="78" applyFont="1" applyBorder="1" applyAlignment="1">
      <alignment horizontal="center" wrapText="1"/>
    </xf>
    <xf numFmtId="0" fontId="60" fillId="0" borderId="0" xfId="78" applyFont="1"/>
    <xf numFmtId="0" fontId="60" fillId="0" borderId="0" xfId="78" applyFont="1" applyAlignment="1">
      <alignment horizontal="center"/>
    </xf>
    <xf numFmtId="177" fontId="60" fillId="0" borderId="0" xfId="33" applyNumberFormat="1" applyFont="1" applyFill="1"/>
    <xf numFmtId="177" fontId="60" fillId="0" borderId="0" xfId="78" applyNumberFormat="1" applyFont="1"/>
    <xf numFmtId="177" fontId="64" fillId="0" borderId="0" xfId="1" applyNumberFormat="1" applyFont="1" applyFill="1"/>
    <xf numFmtId="177" fontId="60" fillId="0" borderId="0" xfId="33" applyNumberFormat="1" applyFont="1" applyFill="1" applyAlignment="1">
      <alignment horizontal="center"/>
    </xf>
    <xf numFmtId="41" fontId="60" fillId="0" borderId="0" xfId="33" applyNumberFormat="1" applyFont="1" applyFill="1" applyAlignment="1">
      <alignment horizontal="center"/>
    </xf>
    <xf numFmtId="43" fontId="60" fillId="0" borderId="0" xfId="78" applyNumberFormat="1" applyFont="1"/>
    <xf numFmtId="164" fontId="60" fillId="0" borderId="0" xfId="78" applyNumberFormat="1" applyFont="1"/>
    <xf numFmtId="178" fontId="60" fillId="0" borderId="0" xfId="78" applyNumberFormat="1" applyFont="1"/>
    <xf numFmtId="0" fontId="61" fillId="0" borderId="0" xfId="78" applyFont="1"/>
    <xf numFmtId="172" fontId="60" fillId="0" borderId="0" xfId="12" applyNumberFormat="1" applyFont="1"/>
    <xf numFmtId="0" fontId="61" fillId="0" borderId="1" xfId="75" applyFont="1" applyBorder="1"/>
    <xf numFmtId="165" fontId="60" fillId="0" borderId="0" xfId="1" applyNumberFormat="1" applyFont="1"/>
    <xf numFmtId="179" fontId="60" fillId="0" borderId="0" xfId="33" applyNumberFormat="1" applyFont="1" applyFill="1" applyAlignment="1">
      <alignment horizontal="center"/>
    </xf>
    <xf numFmtId="165" fontId="60" fillId="0" borderId="0" xfId="75" applyNumberFormat="1" applyFont="1"/>
    <xf numFmtId="165" fontId="0" fillId="0" borderId="0" xfId="1" applyNumberFormat="1" applyFont="1"/>
    <xf numFmtId="0" fontId="48" fillId="0" borderId="1" xfId="0" applyFont="1" applyBorder="1"/>
    <xf numFmtId="0" fontId="61" fillId="0" borderId="1" xfId="78" applyFont="1" applyBorder="1"/>
    <xf numFmtId="41" fontId="60" fillId="0" borderId="0" xfId="78" applyNumberFormat="1" applyFont="1"/>
    <xf numFmtId="41" fontId="64" fillId="0" borderId="0" xfId="1" applyNumberFormat="1" applyFont="1" applyFill="1"/>
    <xf numFmtId="3" fontId="50" fillId="0" borderId="0" xfId="1" applyNumberFormat="1" applyFont="1" applyFill="1" applyAlignment="1">
      <alignment horizontal="right"/>
    </xf>
    <xf numFmtId="9" fontId="0" fillId="0" borderId="0" xfId="12" applyFont="1" applyFill="1"/>
    <xf numFmtId="43" fontId="62" fillId="0" borderId="0" xfId="78" applyNumberFormat="1" applyFont="1"/>
    <xf numFmtId="165" fontId="41" fillId="0" borderId="0" xfId="1" applyNumberFormat="1" applyFont="1"/>
    <xf numFmtId="0" fontId="56" fillId="0" borderId="1" xfId="0" applyFont="1" applyBorder="1"/>
    <xf numFmtId="165" fontId="50" fillId="0" borderId="0" xfId="1" applyNumberFormat="1" applyFont="1"/>
    <xf numFmtId="0" fontId="61" fillId="0" borderId="0" xfId="78" applyFont="1" applyAlignment="1">
      <alignment horizontal="center" wrapText="1"/>
    </xf>
    <xf numFmtId="43" fontId="0" fillId="0" borderId="0" xfId="1" applyFont="1"/>
    <xf numFmtId="0" fontId="0" fillId="2" borderId="0" xfId="0" applyFill="1"/>
    <xf numFmtId="1" fontId="41" fillId="0" borderId="0" xfId="0" applyNumberFormat="1" applyFont="1"/>
    <xf numFmtId="43" fontId="41" fillId="0" borderId="0" xfId="1" applyFont="1"/>
    <xf numFmtId="0" fontId="61" fillId="0" borderId="1" xfId="0" applyFont="1" applyBorder="1" applyAlignment="1">
      <alignment horizontal="center"/>
    </xf>
    <xf numFmtId="4" fontId="41" fillId="0" borderId="0" xfId="0" applyNumberFormat="1" applyFont="1"/>
    <xf numFmtId="0" fontId="41" fillId="0" borderId="0" xfId="20" applyAlignment="1">
      <alignment horizontal="center"/>
    </xf>
    <xf numFmtId="0" fontId="48" fillId="0" borderId="1" xfId="20" applyFont="1" applyBorder="1" applyAlignment="1">
      <alignment horizontal="centerContinuous"/>
    </xf>
    <xf numFmtId="0" fontId="41" fillId="0" borderId="0" xfId="20"/>
    <xf numFmtId="0" fontId="61" fillId="0" borderId="1" xfId="82" applyFont="1" applyBorder="1" applyAlignment="1">
      <alignment horizontal="center" wrapText="1"/>
    </xf>
    <xf numFmtId="17" fontId="41" fillId="0" borderId="0" xfId="20" applyNumberFormat="1" applyAlignment="1">
      <alignment horizontal="left"/>
    </xf>
    <xf numFmtId="41" fontId="60" fillId="0" borderId="0" xfId="82" applyNumberFormat="1" applyFont="1"/>
    <xf numFmtId="41" fontId="41" fillId="0" borderId="0" xfId="20" applyNumberFormat="1"/>
    <xf numFmtId="180" fontId="60" fillId="0" borderId="0" xfId="20" applyNumberFormat="1" applyFont="1" applyAlignment="1">
      <alignment horizontal="center" wrapText="1"/>
    </xf>
    <xf numFmtId="41" fontId="60" fillId="0" borderId="0" xfId="33" applyNumberFormat="1" applyFont="1" applyFill="1" applyAlignment="1">
      <alignment horizontal="center" vertical="center"/>
    </xf>
    <xf numFmtId="41" fontId="60" fillId="0" borderId="0" xfId="33" applyNumberFormat="1" applyFont="1" applyAlignment="1">
      <alignment horizontal="center" vertical="center"/>
    </xf>
    <xf numFmtId="1" fontId="41" fillId="0" borderId="0" xfId="20" applyNumberFormat="1"/>
    <xf numFmtId="0" fontId="58" fillId="0" borderId="0" xfId="75" applyFont="1" applyAlignment="1">
      <alignment horizontal="right"/>
    </xf>
    <xf numFmtId="165" fontId="58" fillId="0" borderId="0" xfId="1" applyNumberFormat="1" applyFont="1"/>
    <xf numFmtId="165" fontId="58" fillId="0" borderId="0" xfId="1" applyNumberFormat="1" applyFont="1" applyFill="1" applyAlignment="1">
      <alignment horizontal="center"/>
    </xf>
    <xf numFmtId="165" fontId="0" fillId="0" borderId="0" xfId="0" applyNumberFormat="1"/>
    <xf numFmtId="3" fontId="0" fillId="0" borderId="0" xfId="0" applyNumberFormat="1"/>
    <xf numFmtId="172" fontId="0" fillId="0" borderId="0" xfId="12" applyNumberFormat="1" applyFont="1" applyFill="1"/>
    <xf numFmtId="10" fontId="0" fillId="0" borderId="0" xfId="12" applyNumberFormat="1" applyFont="1" applyFill="1"/>
    <xf numFmtId="37" fontId="50" fillId="0" borderId="1" xfId="1" applyNumberFormat="1" applyFont="1" applyFill="1" applyBorder="1" applyAlignment="1">
      <alignment horizontal="center"/>
    </xf>
    <xf numFmtId="37" fontId="50" fillId="0" borderId="1" xfId="1" applyNumberFormat="1" applyFont="1" applyFill="1" applyBorder="1" applyAlignment="1">
      <alignment horizontal="right" indent="2"/>
    </xf>
    <xf numFmtId="165" fontId="50" fillId="0" borderId="1" xfId="1" applyNumberFormat="1" applyFont="1" applyFill="1" applyBorder="1"/>
    <xf numFmtId="37" fontId="50" fillId="0" borderId="1" xfId="1" applyNumberFormat="1" applyFont="1" applyFill="1" applyBorder="1" applyAlignment="1">
      <alignment horizontal="right" indent="1"/>
    </xf>
    <xf numFmtId="1" fontId="50" fillId="0" borderId="1" xfId="0" applyNumberFormat="1" applyFont="1" applyBorder="1" applyAlignment="1">
      <alignment horizontal="center"/>
    </xf>
    <xf numFmtId="2" fontId="62" fillId="0" borderId="0" xfId="0" applyNumberFormat="1" applyFont="1"/>
    <xf numFmtId="177" fontId="41" fillId="0" borderId="0" xfId="20" applyNumberFormat="1"/>
    <xf numFmtId="0" fontId="50" fillId="0" borderId="2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1" fillId="0" borderId="2" xfId="0" quotePrefix="1" applyFont="1" applyBorder="1" applyAlignment="1">
      <alignment horizontal="center"/>
    </xf>
    <xf numFmtId="0" fontId="51" fillId="0" borderId="3" xfId="0" quotePrefix="1" applyFont="1" applyBorder="1" applyAlignment="1">
      <alignment horizontal="center"/>
    </xf>
    <xf numFmtId="0" fontId="51" fillId="0" borderId="5" xfId="0" quotePrefix="1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5" xfId="0" applyFont="1" applyBorder="1" applyAlignment="1">
      <alignment horizontal="center"/>
    </xf>
  </cellXfs>
  <cellStyles count="83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6" xfId="74" xr:uid="{5AE75EFE-983D-4415-ABF1-C4602BF3FD8A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3" xfId="79" xr:uid="{9E2AFF03-0374-4DAB-9B4E-F3E30AAD9A78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D966"/>
      <color rgb="FFFFFF00"/>
      <color rgb="FFFFCF01"/>
      <color rgb="FFFF9933"/>
      <color rgb="FFFFFF99"/>
      <color rgb="FF0000FF"/>
      <color rgb="FFFFCC66"/>
      <color rgb="FFFA6400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1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Global major oilseed production and crush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6755839620465857E-3"/>
          <c:y val="1.093267742380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555595822488722E-2"/>
          <c:y val="0.19320259006429646"/>
          <c:w val="0.91780252363852011"/>
          <c:h val="0.52035849109807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1'!$E$2</c:f>
              <c:strCache>
                <c:ptCount val="1"/>
                <c:pt idx="0">
                  <c:v>Soybean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1'!$E$3:$E$12</c:f>
              <c:numCache>
                <c:formatCode>_(* #,##0_);_(* \(#,##0\);_(* "-"_);_(@_)</c:formatCode>
                <c:ptCount val="10"/>
                <c:pt idx="0">
                  <c:v>316.137</c:v>
                </c:pt>
                <c:pt idx="1">
                  <c:v>350.87799999999999</c:v>
                </c:pt>
                <c:pt idx="2">
                  <c:v>343.822</c:v>
                </c:pt>
                <c:pt idx="3">
                  <c:v>363.51400000000001</c:v>
                </c:pt>
                <c:pt idx="4">
                  <c:v>341.43200000000002</c:v>
                </c:pt>
                <c:pt idx="5">
                  <c:v>369.22399999999999</c:v>
                </c:pt>
                <c:pt idx="6">
                  <c:v>360.44900000000001</c:v>
                </c:pt>
                <c:pt idx="7">
                  <c:v>378.20400000000001</c:v>
                </c:pt>
                <c:pt idx="8">
                  <c:v>396.94600000000003</c:v>
                </c:pt>
                <c:pt idx="9">
                  <c:v>422.262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7-49A7-8E10-0130ED1F5F8A}"/>
            </c:ext>
          </c:extLst>
        </c:ser>
        <c:ser>
          <c:idx val="3"/>
          <c:order val="1"/>
          <c:tx>
            <c:strRef>
              <c:f>'Figure 1'!$B$2</c:f>
              <c:strCache>
                <c:ptCount val="1"/>
                <c:pt idx="0">
                  <c:v>Cottonseed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1'!$B$3:$B$12</c:f>
              <c:numCache>
                <c:formatCode>_(* #,##0_);_(* \(#,##0\);_(* "-"_);_(@_)</c:formatCode>
                <c:ptCount val="10"/>
                <c:pt idx="0">
                  <c:v>36.380000000000003</c:v>
                </c:pt>
                <c:pt idx="1">
                  <c:v>39.154000000000003</c:v>
                </c:pt>
                <c:pt idx="2">
                  <c:v>44.7</c:v>
                </c:pt>
                <c:pt idx="3">
                  <c:v>41.957000000000001</c:v>
                </c:pt>
                <c:pt idx="4">
                  <c:v>43.441000000000003</c:v>
                </c:pt>
                <c:pt idx="5">
                  <c:v>41.932000000000002</c:v>
                </c:pt>
                <c:pt idx="6">
                  <c:v>41.27</c:v>
                </c:pt>
                <c:pt idx="7">
                  <c:v>42.298000000000002</c:v>
                </c:pt>
                <c:pt idx="8">
                  <c:v>41.491</c:v>
                </c:pt>
                <c:pt idx="9">
                  <c:v>43.167000000000002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7-49A7-8E10-0130ED1F5F8A}"/>
            </c:ext>
          </c:extLst>
        </c:ser>
        <c:ser>
          <c:idx val="4"/>
          <c:order val="2"/>
          <c:tx>
            <c:strRef>
              <c:f>'Figure 1'!$C$2</c:f>
              <c:strCache>
                <c:ptCount val="1"/>
                <c:pt idx="0">
                  <c:v>Peanut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1'!$C$3:$C$12</c:f>
              <c:numCache>
                <c:formatCode>_(* #,##0_);_(* \(#,##0\);_(* "-"_);_(@_)</c:formatCode>
                <c:ptCount val="10"/>
                <c:pt idx="0">
                  <c:v>41.261000000000003</c:v>
                </c:pt>
                <c:pt idx="1">
                  <c:v>45.878</c:v>
                </c:pt>
                <c:pt idx="2">
                  <c:v>46.927</c:v>
                </c:pt>
                <c:pt idx="3">
                  <c:v>46.676000000000002</c:v>
                </c:pt>
                <c:pt idx="4">
                  <c:v>47.746000000000002</c:v>
                </c:pt>
                <c:pt idx="5">
                  <c:v>50.487000000000002</c:v>
                </c:pt>
                <c:pt idx="6">
                  <c:v>51.966000000000001</c:v>
                </c:pt>
                <c:pt idx="7">
                  <c:v>49.506</c:v>
                </c:pt>
                <c:pt idx="8">
                  <c:v>49.561</c:v>
                </c:pt>
                <c:pt idx="9">
                  <c:v>51.317999999999998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7-49A7-8E10-0130ED1F5F8A}"/>
            </c:ext>
          </c:extLst>
        </c:ser>
        <c:ser>
          <c:idx val="2"/>
          <c:order val="3"/>
          <c:tx>
            <c:strRef>
              <c:f>'Figure 1'!$D$2</c:f>
              <c:strCache>
                <c:ptCount val="1"/>
                <c:pt idx="0">
                  <c:v>Rapeseed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1'!$D$3:$D$12</c:f>
              <c:numCache>
                <c:formatCode>_(* #,##0_);_(* \(#,##0\);_(* "-"_);_(@_)</c:formatCode>
                <c:ptCount val="10"/>
                <c:pt idx="0">
                  <c:v>69.403000000000006</c:v>
                </c:pt>
                <c:pt idx="1">
                  <c:v>70.165000000000006</c:v>
                </c:pt>
                <c:pt idx="2">
                  <c:v>75.796999999999997</c:v>
                </c:pt>
                <c:pt idx="3">
                  <c:v>73.486000000000004</c:v>
                </c:pt>
                <c:pt idx="4">
                  <c:v>70.325000000000003</c:v>
                </c:pt>
                <c:pt idx="5">
                  <c:v>74.754000000000005</c:v>
                </c:pt>
                <c:pt idx="6">
                  <c:v>75.831000000000003</c:v>
                </c:pt>
                <c:pt idx="7">
                  <c:v>88.852000000000004</c:v>
                </c:pt>
                <c:pt idx="8">
                  <c:v>88.393000000000001</c:v>
                </c:pt>
                <c:pt idx="9">
                  <c:v>88.34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7-49A7-8E10-0130ED1F5F8A}"/>
            </c:ext>
          </c:extLst>
        </c:ser>
        <c:ser>
          <c:idx val="0"/>
          <c:order val="4"/>
          <c:tx>
            <c:strRef>
              <c:f>'Figure 1'!$F$2</c:f>
              <c:strCache>
                <c:ptCount val="1"/>
                <c:pt idx="0">
                  <c:v>Sunflowerseed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1'!$F$3:$F$12</c:f>
              <c:numCache>
                <c:formatCode>_(* #,##0_);_(* \(#,##0\);_(* "-"_);_(@_)</c:formatCode>
                <c:ptCount val="10"/>
                <c:pt idx="0">
                  <c:v>40.698999999999998</c:v>
                </c:pt>
                <c:pt idx="1">
                  <c:v>48.347000000000001</c:v>
                </c:pt>
                <c:pt idx="2">
                  <c:v>47.918999999999997</c:v>
                </c:pt>
                <c:pt idx="3">
                  <c:v>50.326000000000001</c:v>
                </c:pt>
                <c:pt idx="4">
                  <c:v>53.908999999999999</c:v>
                </c:pt>
                <c:pt idx="5">
                  <c:v>48.874000000000002</c:v>
                </c:pt>
                <c:pt idx="6">
                  <c:v>56.857999999999997</c:v>
                </c:pt>
                <c:pt idx="7">
                  <c:v>52.783000000000001</c:v>
                </c:pt>
                <c:pt idx="8">
                  <c:v>54.829000000000001</c:v>
                </c:pt>
                <c:pt idx="9">
                  <c:v>55.427999999999997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7-49A7-8E10-0130ED1F5F8A}"/>
            </c:ext>
          </c:extLst>
        </c:ser>
        <c:ser>
          <c:idx val="6"/>
          <c:order val="5"/>
          <c:tx>
            <c:strRef>
              <c:f>'Figure 1'!$G$2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1'!$G$3:$G$12</c:f>
              <c:numCache>
                <c:formatCode>_(* #,##0_);_(* \(#,##0\);_(* "-"_);_(@_)</c:formatCode>
                <c:ptCount val="10"/>
                <c:pt idx="0">
                  <c:v>21.01</c:v>
                </c:pt>
                <c:pt idx="1">
                  <c:v>22.85</c:v>
                </c:pt>
                <c:pt idx="2">
                  <c:v>24.657</c:v>
                </c:pt>
                <c:pt idx="3">
                  <c:v>25.556999999999999</c:v>
                </c:pt>
                <c:pt idx="4">
                  <c:v>25.280999999999999</c:v>
                </c:pt>
                <c:pt idx="5">
                  <c:v>24.859000000000002</c:v>
                </c:pt>
                <c:pt idx="6">
                  <c:v>25.169</c:v>
                </c:pt>
                <c:pt idx="7">
                  <c:v>26.074999999999999</c:v>
                </c:pt>
                <c:pt idx="8">
                  <c:v>26.92</c:v>
                </c:pt>
                <c:pt idx="9">
                  <c:v>26.544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7-49A7-8E10-0130ED1F5F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7"/>
          <c:order val="6"/>
          <c:tx>
            <c:strRef>
              <c:f>'Figure 1'!$H$2</c:f>
              <c:strCache>
                <c:ptCount val="1"/>
                <c:pt idx="0">
                  <c:v>Total crush 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1'!$A$3:$A$12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  <c:pt idx="9">
                  <c:v>2024/25*</c:v>
                </c:pt>
              </c:strCache>
            </c:strRef>
          </c:cat>
          <c:val>
            <c:numRef>
              <c:f>'Figure 1'!$H$3:$H$12</c:f>
              <c:numCache>
                <c:formatCode>_(* #,##0_);_(* \(#,##0\);_(* "-"_);_(@_)</c:formatCode>
                <c:ptCount val="10"/>
                <c:pt idx="0">
                  <c:v>445.642</c:v>
                </c:pt>
                <c:pt idx="1">
                  <c:v>468.56599999999997</c:v>
                </c:pt>
                <c:pt idx="2">
                  <c:v>484.30399999999997</c:v>
                </c:pt>
                <c:pt idx="3">
                  <c:v>489.48200000000003</c:v>
                </c:pt>
                <c:pt idx="4">
                  <c:v>508.48</c:v>
                </c:pt>
                <c:pt idx="5">
                  <c:v>512.31799999999998</c:v>
                </c:pt>
                <c:pt idx="6">
                  <c:v>512.22199999999998</c:v>
                </c:pt>
                <c:pt idx="7">
                  <c:v>525.46500000000003</c:v>
                </c:pt>
                <c:pt idx="8">
                  <c:v>543.56200000000001</c:v>
                </c:pt>
                <c:pt idx="9">
                  <c:v>560.83900000000006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67-49A7-8E10-0130ED1F5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7537393338385003"/>
              <c:y val="0.83722383852515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ax val="700"/>
          <c:min val="0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699946160576082"/>
          <c:y val="0.10217560255998638"/>
          <c:w val="0.73898966956053591"/>
          <c:h val="0.13621311189131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Brazil's soybean production, crush, and exports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099327732732293E-2"/>
          <c:y val="0.18005616773404956"/>
          <c:w val="0.86739728165949515"/>
          <c:h val="0.50307991715687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2023*</c:v>
                </c:pt>
                <c:pt idx="11">
                  <c:v>2024*</c:v>
                </c:pt>
              </c:strCache>
            </c:strRef>
          </c:cat>
          <c:val>
            <c:numRef>
              <c:f>'Figure 2'!$B$2:$B$13</c:f>
              <c:numCache>
                <c:formatCode>_(* #,##0_);_(* \(#,##0\);_(* "-"??_);_(@_)</c:formatCode>
                <c:ptCount val="12"/>
                <c:pt idx="0">
                  <c:v>37622</c:v>
                </c:pt>
                <c:pt idx="1">
                  <c:v>40556</c:v>
                </c:pt>
                <c:pt idx="2">
                  <c:v>39531</c:v>
                </c:pt>
                <c:pt idx="3">
                  <c:v>41837</c:v>
                </c:pt>
                <c:pt idx="4">
                  <c:v>43556</c:v>
                </c:pt>
                <c:pt idx="5">
                  <c:v>43454</c:v>
                </c:pt>
                <c:pt idx="6">
                  <c:v>46845</c:v>
                </c:pt>
                <c:pt idx="7">
                  <c:v>47781</c:v>
                </c:pt>
                <c:pt idx="8">
                  <c:v>50932</c:v>
                </c:pt>
                <c:pt idx="9">
                  <c:v>54165</c:v>
                </c:pt>
                <c:pt idx="10">
                  <c:v>54000</c:v>
                </c:pt>
                <c:pt idx="11">
                  <c:v>54500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6-45E1-A68E-8504E686A2FB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2023*</c:v>
                </c:pt>
                <c:pt idx="11">
                  <c:v>2024*</c:v>
                </c:pt>
              </c:strCache>
            </c:strRef>
          </c:cat>
          <c:val>
            <c:numRef>
              <c:f>'Figure 2'!$C$2:$C$13</c:f>
              <c:numCache>
                <c:formatCode>_(* #,##0_);_(* \(#,##0\);_(* "-"??_);_(@_)</c:formatCode>
                <c:ptCount val="12"/>
                <c:pt idx="0">
                  <c:v>45692</c:v>
                </c:pt>
                <c:pt idx="1">
                  <c:v>54324</c:v>
                </c:pt>
                <c:pt idx="2">
                  <c:v>51582</c:v>
                </c:pt>
                <c:pt idx="3">
                  <c:v>68155</c:v>
                </c:pt>
                <c:pt idx="4">
                  <c:v>83258</c:v>
                </c:pt>
                <c:pt idx="5">
                  <c:v>74073</c:v>
                </c:pt>
                <c:pt idx="6">
                  <c:v>82973</c:v>
                </c:pt>
                <c:pt idx="7">
                  <c:v>86110</c:v>
                </c:pt>
                <c:pt idx="8">
                  <c:v>78730</c:v>
                </c:pt>
                <c:pt idx="9">
                  <c:v>101870</c:v>
                </c:pt>
                <c:pt idx="10">
                  <c:v>98000</c:v>
                </c:pt>
                <c:pt idx="11">
                  <c:v>109000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6-45E1-A68E-8504E686A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2'!$D$1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'Figure 2'!$A$2:$A$13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2023*</c:v>
                </c:pt>
                <c:pt idx="11">
                  <c:v>2024*</c:v>
                </c:pt>
              </c:strCache>
            </c:strRef>
          </c:cat>
          <c:val>
            <c:numRef>
              <c:f>'Figure 2'!$D$2:$D$13</c:f>
              <c:numCache>
                <c:formatCode>_(* #,##0_);_(* \(#,##0\);_(* "-"??_);_(@_)</c:formatCode>
                <c:ptCount val="12"/>
                <c:pt idx="0">
                  <c:v>86200</c:v>
                </c:pt>
                <c:pt idx="1">
                  <c:v>97100</c:v>
                </c:pt>
                <c:pt idx="2">
                  <c:v>95700</c:v>
                </c:pt>
                <c:pt idx="3">
                  <c:v>114900</c:v>
                </c:pt>
                <c:pt idx="4">
                  <c:v>123400</c:v>
                </c:pt>
                <c:pt idx="5">
                  <c:v>120500</c:v>
                </c:pt>
                <c:pt idx="6">
                  <c:v>128500</c:v>
                </c:pt>
                <c:pt idx="7">
                  <c:v>139500</c:v>
                </c:pt>
                <c:pt idx="8">
                  <c:v>130500</c:v>
                </c:pt>
                <c:pt idx="9">
                  <c:v>162000</c:v>
                </c:pt>
                <c:pt idx="10">
                  <c:v>154000</c:v>
                </c:pt>
                <c:pt idx="11">
                  <c:v>169000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26-45E1-A68E-8504E686A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Local year (January–December)</a:t>
                </a:r>
              </a:p>
            </c:rich>
          </c:tx>
          <c:layout>
            <c:manualLayout>
              <c:xMode val="edge"/>
              <c:yMode val="edge"/>
              <c:x val="0.3788967401874006"/>
              <c:y val="0.791651889204303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metric</a:t>
                </a:r>
                <a:r>
                  <a:rPr lang="en-US" sz="900" baseline="0"/>
                  <a:t>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943553762556121E-2"/>
              <c:y val="0.112480480303937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t"/>
      <c:layout>
        <c:manualLayout>
          <c:xMode val="edge"/>
          <c:yMode val="edge"/>
          <c:x val="0.31269450248421293"/>
          <c:y val="0.1003241953598544"/>
          <c:w val="0.31583446780995317"/>
          <c:h val="4.9272559651081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Global major vegetable oil stocks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312022564421"/>
          <c:y val="0.19605913547656637"/>
          <c:w val="0.87435715618094023"/>
          <c:h val="0.627398081843142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3'!$B$1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  <c:pt idx="10">
                  <c:v>2024/25*</c:v>
                </c:pt>
              </c:strCache>
            </c:strRef>
          </c:cat>
          <c:val>
            <c:numRef>
              <c:f>'Figure 3'!$B$2:$B$12</c:f>
              <c:numCache>
                <c:formatCode>_(* #,##0.0_);_(* \(#,##0.0\);_(* "-"_);_(@_)</c:formatCode>
                <c:ptCount val="11"/>
                <c:pt idx="0">
                  <c:v>10.846</c:v>
                </c:pt>
                <c:pt idx="1">
                  <c:v>8.6340000000000003</c:v>
                </c:pt>
                <c:pt idx="2">
                  <c:v>10.404999999999999</c:v>
                </c:pt>
                <c:pt idx="3">
                  <c:v>12.997</c:v>
                </c:pt>
                <c:pt idx="4">
                  <c:v>15.003</c:v>
                </c:pt>
                <c:pt idx="5">
                  <c:v>15.939</c:v>
                </c:pt>
                <c:pt idx="6">
                  <c:v>15.092000000000001</c:v>
                </c:pt>
                <c:pt idx="7">
                  <c:v>16.417000000000002</c:v>
                </c:pt>
                <c:pt idx="8">
                  <c:v>17.79</c:v>
                </c:pt>
                <c:pt idx="9">
                  <c:v>17.661999999999999</c:v>
                </c:pt>
                <c:pt idx="10">
                  <c:v>16.693000000000001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E-4468-B593-F022CD76AFBC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Rapeseed 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  <c:pt idx="10">
                  <c:v>2024/25*</c:v>
                </c:pt>
              </c:strCache>
            </c:strRef>
          </c:cat>
          <c:val>
            <c:numRef>
              <c:f>'Figure 3'!$C$2:$C$12</c:f>
              <c:numCache>
                <c:formatCode>_(* #,##0.0_);_(* \(#,##0.0\);_(* "-"_);_(@_)</c:formatCode>
                <c:ptCount val="11"/>
                <c:pt idx="0">
                  <c:v>6.6829999999999998</c:v>
                </c:pt>
                <c:pt idx="1">
                  <c:v>5.71</c:v>
                </c:pt>
                <c:pt idx="2">
                  <c:v>4.2489999999999997</c:v>
                </c:pt>
                <c:pt idx="3">
                  <c:v>3.395</c:v>
                </c:pt>
                <c:pt idx="4">
                  <c:v>2.9630000000000001</c:v>
                </c:pt>
                <c:pt idx="5">
                  <c:v>2.9119999999999999</c:v>
                </c:pt>
                <c:pt idx="6">
                  <c:v>3.6619999999999999</c:v>
                </c:pt>
                <c:pt idx="7">
                  <c:v>2.5870000000000002</c:v>
                </c:pt>
                <c:pt idx="8">
                  <c:v>3.1150000000000002</c:v>
                </c:pt>
                <c:pt idx="9">
                  <c:v>3.4489999999999998</c:v>
                </c:pt>
                <c:pt idx="10">
                  <c:v>2.831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E-4468-B593-F022CD76AFBC}"/>
            </c:ext>
          </c:extLst>
        </c:ser>
        <c:ser>
          <c:idx val="4"/>
          <c:order val="2"/>
          <c:tx>
            <c:strRef>
              <c:f>'Figure 3'!$D$1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  <c:pt idx="10">
                  <c:v>2024/25*</c:v>
                </c:pt>
              </c:strCache>
            </c:strRef>
          </c:cat>
          <c:val>
            <c:numRef>
              <c:f>'Figure 3'!$D$2:$D$12</c:f>
              <c:numCache>
                <c:formatCode>_(* #,##0.0_);_(* \(#,##0.0\);_(* "-"_);_(@_)</c:formatCode>
                <c:ptCount val="11"/>
                <c:pt idx="0">
                  <c:v>4.766</c:v>
                </c:pt>
                <c:pt idx="1">
                  <c:v>4.1929999999999996</c:v>
                </c:pt>
                <c:pt idx="2">
                  <c:v>4.3789999999999996</c:v>
                </c:pt>
                <c:pt idx="3">
                  <c:v>4.548</c:v>
                </c:pt>
                <c:pt idx="4">
                  <c:v>4.835</c:v>
                </c:pt>
                <c:pt idx="5">
                  <c:v>5.6529999999999996</c:v>
                </c:pt>
                <c:pt idx="6">
                  <c:v>5.9160000000000004</c:v>
                </c:pt>
                <c:pt idx="7">
                  <c:v>5.1020000000000003</c:v>
                </c:pt>
                <c:pt idx="8" formatCode="_(* #,##0.0_);_(* \(#,##0.0\);_(* &quot;-&quot;??_);_(@_)">
                  <c:v>5.0069999999999997</c:v>
                </c:pt>
                <c:pt idx="9" formatCode="_(* #,##0.0_);_(* \(#,##0.0\);_(* &quot;-&quot;??_);_(@_)">
                  <c:v>5.3049999999999997</c:v>
                </c:pt>
                <c:pt idx="10" formatCode="_(* #,##0.0_);_(* \(#,##0.0\);_(* &quot;-&quot;??_);_(@_)">
                  <c:v>5.2839999999999998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E-4468-B593-F022CD76AFBC}"/>
            </c:ext>
          </c:extLst>
        </c:ser>
        <c:ser>
          <c:idx val="3"/>
          <c:order val="3"/>
          <c:tx>
            <c:strRef>
              <c:f>'Figure 3'!$E$1</c:f>
              <c:strCache>
                <c:ptCount val="1"/>
                <c:pt idx="0">
                  <c:v>Sunflowerseed oil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  <c:pt idx="10">
                  <c:v>2024/25*</c:v>
                </c:pt>
              </c:strCache>
            </c:strRef>
          </c:cat>
          <c:val>
            <c:numRef>
              <c:f>'Figure 3'!$E$2:$E$12</c:f>
              <c:numCache>
                <c:formatCode>_(* #,##0.0_);_(* \(#,##0.0\);_(* "-"_);_(@_)</c:formatCode>
                <c:ptCount val="11"/>
                <c:pt idx="0">
                  <c:v>2.59</c:v>
                </c:pt>
                <c:pt idx="1">
                  <c:v>2.0379999999999998</c:v>
                </c:pt>
                <c:pt idx="2">
                  <c:v>2.6160000000000001</c:v>
                </c:pt>
                <c:pt idx="3">
                  <c:v>2.6059999999999999</c:v>
                </c:pt>
                <c:pt idx="4">
                  <c:v>2.4430000000000001</c:v>
                </c:pt>
                <c:pt idx="5">
                  <c:v>3.012</c:v>
                </c:pt>
                <c:pt idx="6">
                  <c:v>2.0430000000000001</c:v>
                </c:pt>
                <c:pt idx="7">
                  <c:v>2.645</c:v>
                </c:pt>
                <c:pt idx="8" formatCode="_(* #,##0.0_);_(* \(#,##0.0\);_(* &quot;-&quot;??_);_(@_)">
                  <c:v>3.153</c:v>
                </c:pt>
                <c:pt idx="9" formatCode="_(* #,##0.0_);_(* \(#,##0.0\);_(* &quot;-&quot;??_);_(@_)">
                  <c:v>2.7090000000000001</c:v>
                </c:pt>
                <c:pt idx="10" formatCode="_(* #,##0.0_);_(* \(#,##0.0\);_(* &quot;-&quot;??_);_(@_)">
                  <c:v>2.516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9E-4468-B593-F022CD76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22411343473107"/>
              <c:y val="0.87797545261239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16711729012E-2"/>
              <c:y val="0.11136368201914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23486090060338"/>
          <c:y val="0.12636223785452472"/>
          <c:w val="0.7224611699366188"/>
          <c:h val="4.9025191124402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SA-1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soybean seeding rate and row width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1.3854518185226841E-3"/>
          <c:y val="6.28936841587148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83154042364423"/>
          <c:y val="0.24690236070061444"/>
          <c:w val="0.83798048131307534"/>
          <c:h val="0.438607194158036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SA-1'!$B$1</c:f>
              <c:strCache>
                <c:ptCount val="1"/>
                <c:pt idx="0">
                  <c:v>Seeding rate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'Figure SA-1'!$A$2:$A$6</c:f>
              <c:numCache>
                <c:formatCode>General</c:formatCode>
                <c:ptCount val="5"/>
                <c:pt idx="0">
                  <c:v>1997</c:v>
                </c:pt>
                <c:pt idx="1">
                  <c:v>2002</c:v>
                </c:pt>
                <c:pt idx="2">
                  <c:v>2006</c:v>
                </c:pt>
                <c:pt idx="3">
                  <c:v>2012</c:v>
                </c:pt>
                <c:pt idx="4">
                  <c:v>2018</c:v>
                </c:pt>
              </c:numCache>
            </c:numRef>
          </c:cat>
          <c:val>
            <c:numRef>
              <c:f>'Figure SA-1'!$B$2:$B$6</c:f>
              <c:numCache>
                <c:formatCode>_(* #,##0_);_(* \(#,##0\);_(* "-"_);_(@_)</c:formatCode>
                <c:ptCount val="5"/>
                <c:pt idx="0">
                  <c:v>200779.98251500691</c:v>
                </c:pt>
                <c:pt idx="1">
                  <c:v>192398.9279546419</c:v>
                </c:pt>
                <c:pt idx="2">
                  <c:v>175067.62773095249</c:v>
                </c:pt>
                <c:pt idx="3">
                  <c:v>164675.03339573849</c:v>
                </c:pt>
                <c:pt idx="4">
                  <c:v>157441.80090388621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B-4362-99BA-7ECA8D51F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0"/>
          <c:order val="1"/>
          <c:tx>
            <c:strRef>
              <c:f>'Figure SA-1'!$C$1</c:f>
              <c:strCache>
                <c:ptCount val="1"/>
                <c:pt idx="0">
                  <c:v>Row width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SA-1'!$A$2:$A$6</c:f>
              <c:numCache>
                <c:formatCode>General</c:formatCode>
                <c:ptCount val="5"/>
                <c:pt idx="0">
                  <c:v>1997</c:v>
                </c:pt>
                <c:pt idx="1">
                  <c:v>2002</c:v>
                </c:pt>
                <c:pt idx="2">
                  <c:v>2006</c:v>
                </c:pt>
                <c:pt idx="3">
                  <c:v>2012</c:v>
                </c:pt>
                <c:pt idx="4">
                  <c:v>2018</c:v>
                </c:pt>
              </c:numCache>
            </c:numRef>
          </c:cat>
          <c:val>
            <c:numRef>
              <c:f>'Figure SA-1'!$C$2:$C$6</c:f>
              <c:numCache>
                <c:formatCode>_(* #,##0_);_(* \(#,##0\);_(* "-"_);_(@_)</c:formatCode>
                <c:ptCount val="5"/>
                <c:pt idx="0">
                  <c:v>16.94118933766612</c:v>
                </c:pt>
                <c:pt idx="1">
                  <c:v>16.410733019673611</c:v>
                </c:pt>
                <c:pt idx="2">
                  <c:v>17.975680301714629</c:v>
                </c:pt>
                <c:pt idx="3">
                  <c:v>19.527098326035169</c:v>
                </c:pt>
                <c:pt idx="4">
                  <c:v>19.80203810069435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DB-4362-99BA-7ECA8D51F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672991"/>
        <c:axId val="1884160015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272062583086202"/>
              <c:y val="0.776344961441401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Seeds per acre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4288834169148945E-4"/>
              <c:y val="0.1131986410611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884160015"/>
        <c:scaling>
          <c:orientation val="minMax"/>
          <c:min val="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Inches</a:t>
                </a:r>
              </a:p>
            </c:rich>
          </c:tx>
          <c:layout>
            <c:manualLayout>
              <c:xMode val="edge"/>
              <c:yMode val="edge"/>
              <c:x val="0.92187646998670636"/>
              <c:y val="0.125831001991451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0672991"/>
        <c:crosses val="max"/>
        <c:crossBetween val="between"/>
      </c:valAx>
      <c:catAx>
        <c:axId val="2030672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4160015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24016552559154686"/>
          <c:y val="0.12636227447847018"/>
          <c:w val="0.50687546586941323"/>
          <c:h val="5.7984236316700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SA-3a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Soybean planting method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24213369452E-3"/>
          <c:y val="1.24280390365568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593079031429092E-2"/>
          <c:y val="0.18948333513105384"/>
          <c:w val="0.83505363067580785"/>
          <c:h val="0.5062083819383689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SA-3'!$B$1</c:f>
              <c:strCache>
                <c:ptCount val="1"/>
                <c:pt idx="0">
                  <c:v>Drilled or broadcast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SA-3'!$A$2:$A$3</c:f>
              <c:numCache>
                <c:formatCode>General</c:formatCode>
                <c:ptCount val="2"/>
                <c:pt idx="0">
                  <c:v>1997</c:v>
                </c:pt>
                <c:pt idx="1">
                  <c:v>2018</c:v>
                </c:pt>
              </c:numCache>
            </c:numRef>
          </c:cat>
          <c:val>
            <c:numRef>
              <c:f>'Figure SA-3'!$B$2:$B$3</c:f>
              <c:numCache>
                <c:formatCode>0</c:formatCode>
                <c:ptCount val="2"/>
                <c:pt idx="0">
                  <c:v>51.441525343430698</c:v>
                </c:pt>
                <c:pt idx="1">
                  <c:v>26.309851904177094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5-4AA6-A8AA-8B58B15AB1DC}"/>
            </c:ext>
          </c:extLst>
        </c:ser>
        <c:ser>
          <c:idx val="3"/>
          <c:order val="1"/>
          <c:tx>
            <c:strRef>
              <c:f>'Figure SA-3'!$C$1</c:f>
              <c:strCache>
                <c:ptCount val="1"/>
                <c:pt idx="0">
                  <c:v>Planted in conventional rows</c:v>
                </c:pt>
              </c:strCache>
            </c:strRef>
          </c:tx>
          <c:spPr>
            <a:solidFill>
              <a:srgbClr val="FFD966"/>
            </a:solidFill>
            <a:ln>
              <a:prstDash val="dash"/>
            </a:ln>
          </c:spPr>
          <c:invertIfNegative val="0"/>
          <c:dLbls>
            <c:dLbl>
              <c:idx val="5"/>
              <c:layout>
                <c:manualLayout>
                  <c:x val="-4.2287768263029922E-3"/>
                  <c:y val="2.949852507374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5-4AA6-A8AA-8B58B15AB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SA-3'!$A$2:$A$3</c:f>
              <c:numCache>
                <c:formatCode>General</c:formatCode>
                <c:ptCount val="2"/>
                <c:pt idx="0">
                  <c:v>1997</c:v>
                </c:pt>
                <c:pt idx="1">
                  <c:v>2018</c:v>
                </c:pt>
              </c:numCache>
            </c:numRef>
          </c:cat>
          <c:val>
            <c:numRef>
              <c:f>'Figure SA-3'!$C$2:$C$3</c:f>
              <c:numCache>
                <c:formatCode>0</c:formatCode>
                <c:ptCount val="2"/>
                <c:pt idx="0">
                  <c:v>48.558474656569302</c:v>
                </c:pt>
                <c:pt idx="1">
                  <c:v>73.690148095822906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C5-4AA6-A8AA-8B58B15A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44563011982511813"/>
              <c:y val="0.808902012248468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8.1457751910734236E-3"/>
              <c:y val="0.10374863540287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668982553651386"/>
          <c:y val="2.7348858935006007E-2"/>
          <c:w val="0.63078559368634446"/>
          <c:h val="0.17416737102777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SA-3b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Soybean seeding rate by planting method</a:t>
            </a:r>
          </a:p>
        </c:rich>
      </c:tx>
      <c:layout>
        <c:manualLayout>
          <c:xMode val="edge"/>
          <c:yMode val="edge"/>
          <c:x val="7.7251941445463678E-4"/>
          <c:y val="1.24279723655232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11751494980652"/>
          <c:y val="0.18948333513105384"/>
          <c:w val="0.80355300303956856"/>
          <c:h val="0.540691163604549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SA-3'!$G$1</c:f>
              <c:strCache>
                <c:ptCount val="1"/>
                <c:pt idx="0">
                  <c:v>Drilled or broadcast</c:v>
                </c:pt>
              </c:strCache>
            </c:strRef>
          </c:tx>
          <c:invertIfNegative val="0"/>
          <c:cat>
            <c:numRef>
              <c:f>'Figure SA-3'!$F$2:$F$3</c:f>
              <c:numCache>
                <c:formatCode>General</c:formatCode>
                <c:ptCount val="2"/>
                <c:pt idx="0">
                  <c:v>1997</c:v>
                </c:pt>
                <c:pt idx="1">
                  <c:v>2018</c:v>
                </c:pt>
              </c:numCache>
            </c:numRef>
          </c:cat>
          <c:val>
            <c:numRef>
              <c:f>'Figure SA-3'!$G$2:$G$3</c:f>
              <c:numCache>
                <c:formatCode>#,##0.00</c:formatCode>
                <c:ptCount val="2"/>
                <c:pt idx="0">
                  <c:v>226212.454941951</c:v>
                </c:pt>
                <c:pt idx="1">
                  <c:v>167760.194348889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E-4254-BB97-DF345E01E34F}"/>
            </c:ext>
          </c:extLst>
        </c:ser>
        <c:ser>
          <c:idx val="3"/>
          <c:order val="1"/>
          <c:tx>
            <c:strRef>
              <c:f>'Figure SA-3'!$H$1</c:f>
              <c:strCache>
                <c:ptCount val="1"/>
                <c:pt idx="0">
                  <c:v>Planted in conventional rows</c:v>
                </c:pt>
              </c:strCache>
            </c:strRef>
          </c:tx>
          <c:spPr>
            <a:solidFill>
              <a:srgbClr val="FFD966"/>
            </a:solidFill>
          </c:spPr>
          <c:invertIfNegative val="0"/>
          <c:cat>
            <c:numRef>
              <c:f>'Figure SA-3'!$F$2:$F$3</c:f>
              <c:numCache>
                <c:formatCode>General</c:formatCode>
                <c:ptCount val="2"/>
                <c:pt idx="0">
                  <c:v>1997</c:v>
                </c:pt>
                <c:pt idx="1">
                  <c:v>2018</c:v>
                </c:pt>
              </c:numCache>
            </c:numRef>
          </c:cat>
          <c:val>
            <c:numRef>
              <c:f>'Figure SA-3'!$H$2:$H$3</c:f>
              <c:numCache>
                <c:formatCode>#,##0.00</c:formatCode>
                <c:ptCount val="2"/>
                <c:pt idx="0">
                  <c:v>173837.51399329971</c:v>
                </c:pt>
                <c:pt idx="1">
                  <c:v>153757.78871986869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E-4254-BB97-DF345E01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44563011982511813"/>
              <c:y val="0.808902012248468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Seeds per acre</a:t>
                </a:r>
              </a:p>
            </c:rich>
          </c:tx>
          <c:layout>
            <c:manualLayout>
              <c:xMode val="edge"/>
              <c:yMode val="edge"/>
              <c:x val="8.1457751910734236E-3"/>
              <c:y val="0.10374863540287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538092195558472"/>
          <c:y val="0.1276746724193237"/>
          <c:w val="0.63078559368634446"/>
          <c:h val="4.7048753861519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SA-4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Soybean seed cost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24213369452E-3"/>
          <c:y val="1.24280390365568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9231342053002983E-2"/>
          <c:y val="0.19295548993875766"/>
          <c:w val="0.87041539036026572"/>
          <c:h val="0.55134733158355198"/>
        </c:manualLayout>
      </c:layout>
      <c:lineChart>
        <c:grouping val="standard"/>
        <c:varyColors val="0"/>
        <c:ser>
          <c:idx val="0"/>
          <c:order val="0"/>
          <c:tx>
            <c:strRef>
              <c:f>'Figure SA-4'!$B$1</c:f>
              <c:strCache>
                <c:ptCount val="1"/>
                <c:pt idx="0">
                  <c:v>Seed cost</c:v>
                </c:pt>
              </c:strCache>
            </c:strRef>
          </c:tx>
          <c:spPr>
            <a:ln w="349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SA-4'!$A$2:$A$28</c:f>
              <c:numCache>
                <c:formatCode>0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'Figure SA-4'!$B$2:$B$28</c:f>
              <c:numCache>
                <c:formatCode>_(* #,##0.00_);_(* \(#,##0.00\);_(* "-"??_);_(@_)</c:formatCode>
                <c:ptCount val="27"/>
                <c:pt idx="0">
                  <c:v>19.72</c:v>
                </c:pt>
                <c:pt idx="1">
                  <c:v>20.46</c:v>
                </c:pt>
                <c:pt idx="2">
                  <c:v>19.25</c:v>
                </c:pt>
                <c:pt idx="3">
                  <c:v>19.18</c:v>
                </c:pt>
                <c:pt idx="4">
                  <c:v>22.59</c:v>
                </c:pt>
                <c:pt idx="5">
                  <c:v>25.45</c:v>
                </c:pt>
                <c:pt idx="6">
                  <c:v>27.42</c:v>
                </c:pt>
                <c:pt idx="7">
                  <c:v>29.71</c:v>
                </c:pt>
                <c:pt idx="8">
                  <c:v>32.619999999999997</c:v>
                </c:pt>
                <c:pt idx="9">
                  <c:v>32.299999999999997</c:v>
                </c:pt>
                <c:pt idx="10">
                  <c:v>39.770000000000003</c:v>
                </c:pt>
                <c:pt idx="11">
                  <c:v>44.35</c:v>
                </c:pt>
                <c:pt idx="12">
                  <c:v>55.26</c:v>
                </c:pt>
                <c:pt idx="13">
                  <c:v>59.2</c:v>
                </c:pt>
                <c:pt idx="14">
                  <c:v>55.55</c:v>
                </c:pt>
                <c:pt idx="15">
                  <c:v>55.32</c:v>
                </c:pt>
                <c:pt idx="16">
                  <c:v>58.18</c:v>
                </c:pt>
                <c:pt idx="17">
                  <c:v>58.78</c:v>
                </c:pt>
                <c:pt idx="18">
                  <c:v>59.21</c:v>
                </c:pt>
                <c:pt idx="19">
                  <c:v>58.79</c:v>
                </c:pt>
                <c:pt idx="20">
                  <c:v>58.07</c:v>
                </c:pt>
                <c:pt idx="21">
                  <c:v>62.39</c:v>
                </c:pt>
                <c:pt idx="22">
                  <c:v>60.93</c:v>
                </c:pt>
                <c:pt idx="23">
                  <c:v>60.99</c:v>
                </c:pt>
                <c:pt idx="24">
                  <c:v>63.21</c:v>
                </c:pt>
                <c:pt idx="25">
                  <c:v>71.09</c:v>
                </c:pt>
                <c:pt idx="26">
                  <c:v>71.03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F8-468F-BB0D-6020C91C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54375852285224124"/>
              <c:y val="0.84362415285775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 per acre</a:t>
                </a:r>
              </a:p>
            </c:rich>
          </c:tx>
          <c:layout>
            <c:manualLayout>
              <c:xMode val="edge"/>
              <c:yMode val="edge"/>
              <c:x val="8.1457751910734236E-3"/>
              <c:y val="0.10374863540287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SA-5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soybean seeding rate, MY 2002/03–2024/25 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5.9600738627845059E-3"/>
          <c:y val="1.01925783867180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052762732693095"/>
          <c:y val="0.21692577709150546"/>
          <c:w val="0.86548499537268819"/>
          <c:h val="0.459971675282368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SA-5'!$B$1:$B$2</c:f>
              <c:strCache>
                <c:ptCount val="2"/>
                <c:pt idx="0">
                  <c:v>Seeding rate (seeds per acre)</c:v>
                </c:pt>
                <c:pt idx="1">
                  <c:v> -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SA-5'!$A$3:$A$25</c:f>
              <c:strCache>
                <c:ptCount val="23"/>
                <c:pt idx="0">
                  <c:v>2002/03</c:v>
                </c:pt>
                <c:pt idx="1">
                  <c:v>2003/04</c:v>
                </c:pt>
                <c:pt idx="2">
                  <c:v>2004/05</c:v>
                </c:pt>
                <c:pt idx="3">
                  <c:v>2005/06</c:v>
                </c:pt>
                <c:pt idx="4">
                  <c:v>2006/07</c:v>
                </c:pt>
                <c:pt idx="5">
                  <c:v>2007/08</c:v>
                </c:pt>
                <c:pt idx="6">
                  <c:v>2008/09</c:v>
                </c:pt>
                <c:pt idx="7">
                  <c:v>2009/10</c:v>
                </c:pt>
                <c:pt idx="8">
                  <c:v>2010/11</c:v>
                </c:pt>
                <c:pt idx="9">
                  <c:v>2011/12</c:v>
                </c:pt>
                <c:pt idx="10">
                  <c:v>2012/13</c:v>
                </c:pt>
                <c:pt idx="11">
                  <c:v>2013/14</c:v>
                </c:pt>
                <c:pt idx="12">
                  <c:v>2014/15</c:v>
                </c:pt>
                <c:pt idx="13">
                  <c:v>2015/16</c:v>
                </c:pt>
                <c:pt idx="14">
                  <c:v>2016/17</c:v>
                </c:pt>
                <c:pt idx="15">
                  <c:v>2017/18</c:v>
                </c:pt>
                <c:pt idx="16">
                  <c:v>2018/19</c:v>
                </c:pt>
                <c:pt idx="17">
                  <c:v>2019/20</c:v>
                </c:pt>
                <c:pt idx="18">
                  <c:v>2020/21</c:v>
                </c:pt>
                <c:pt idx="19">
                  <c:v>2021/22</c:v>
                </c:pt>
                <c:pt idx="20">
                  <c:v>2022/23</c:v>
                </c:pt>
                <c:pt idx="21">
                  <c:v>2023/24</c:v>
                </c:pt>
                <c:pt idx="22">
                  <c:v>2024/25*</c:v>
                </c:pt>
              </c:strCache>
            </c:strRef>
          </c:cat>
          <c:val>
            <c:numRef>
              <c:f>'Figure SA-5'!$B$3:$B$25</c:f>
              <c:numCache>
                <c:formatCode>_(* #,##0.00_);_(* \(#,##0.00\);_(* "-"??_);_(@_)</c:formatCode>
                <c:ptCount val="23"/>
                <c:pt idx="0">
                  <c:v>200000</c:v>
                </c:pt>
                <c:pt idx="1">
                  <c:v>195000</c:v>
                </c:pt>
                <c:pt idx="2">
                  <c:v>190000</c:v>
                </c:pt>
                <c:pt idx="3">
                  <c:v>185000</c:v>
                </c:pt>
                <c:pt idx="4">
                  <c:v>180000</c:v>
                </c:pt>
                <c:pt idx="5">
                  <c:v>178000</c:v>
                </c:pt>
                <c:pt idx="6">
                  <c:v>176000</c:v>
                </c:pt>
                <c:pt idx="7">
                  <c:v>174000</c:v>
                </c:pt>
                <c:pt idx="8">
                  <c:v>172000</c:v>
                </c:pt>
                <c:pt idx="9">
                  <c:v>170000</c:v>
                </c:pt>
                <c:pt idx="10">
                  <c:v>170000</c:v>
                </c:pt>
                <c:pt idx="11">
                  <c:v>168000</c:v>
                </c:pt>
                <c:pt idx="12">
                  <c:v>166000</c:v>
                </c:pt>
                <c:pt idx="13">
                  <c:v>164000</c:v>
                </c:pt>
                <c:pt idx="14">
                  <c:v>162000</c:v>
                </c:pt>
                <c:pt idx="15">
                  <c:v>160000</c:v>
                </c:pt>
                <c:pt idx="16">
                  <c:v>160000</c:v>
                </c:pt>
                <c:pt idx="17">
                  <c:v>157000</c:v>
                </c:pt>
                <c:pt idx="18">
                  <c:v>156000</c:v>
                </c:pt>
                <c:pt idx="19">
                  <c:v>154000</c:v>
                </c:pt>
                <c:pt idx="20">
                  <c:v>152000</c:v>
                </c:pt>
                <c:pt idx="21">
                  <c:v>150000</c:v>
                </c:pt>
                <c:pt idx="22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E-4B62-B874-6E4A8621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5611184440097"/>
              <c:y val="0.836980380497504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in val="1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Seeds per acre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6.8893844916784255E-3"/>
              <c:y val="0.135207048570816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SA-6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soybean seed and residual use revisions, MY 2001/02–2024/25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993972786493697E-2"/>
          <c:y val="0.158450221175616"/>
          <c:w val="0.86050877453137264"/>
          <c:h val="0.53173602495829508"/>
        </c:manualLayout>
      </c:layout>
      <c:lineChart>
        <c:grouping val="standard"/>
        <c:varyColors val="0"/>
        <c:ser>
          <c:idx val="2"/>
          <c:order val="0"/>
          <c:tx>
            <c:strRef>
              <c:f>'Figure SA-6'!$B$1</c:f>
              <c:strCache>
                <c:ptCount val="1"/>
                <c:pt idx="0">
                  <c:v>New seed use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strRef>
              <c:f>'Figure SA-6'!$A$2:$A$25</c:f>
              <c:strCache>
                <c:ptCount val="24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</c:strCache>
            </c:strRef>
          </c:cat>
          <c:val>
            <c:numRef>
              <c:f>'Figure SA-6'!$B$2:$B$25</c:f>
              <c:numCache>
                <c:formatCode>_(* #,##0.00_);_(* \(#,##0.00\);_(* "-"??_);_(@_)</c:formatCode>
                <c:ptCount val="24"/>
                <c:pt idx="0">
                  <c:v>88.05119047619047</c:v>
                </c:pt>
                <c:pt idx="1">
                  <c:v>85.20107142857141</c:v>
                </c:pt>
                <c:pt idx="2">
                  <c:v>85.056666666666658</c:v>
                </c:pt>
                <c:pt idx="3">
                  <c:v>79.320952380952363</c:v>
                </c:pt>
                <c:pt idx="4">
                  <c:v>80.916428571428597</c:v>
                </c:pt>
                <c:pt idx="5">
                  <c:v>68.594630952380953</c:v>
                </c:pt>
                <c:pt idx="6">
                  <c:v>79.323619047619061</c:v>
                </c:pt>
                <c:pt idx="7">
                  <c:v>80.217107142857145</c:v>
                </c:pt>
                <c:pt idx="8">
                  <c:v>79.246952380952393</c:v>
                </c:pt>
                <c:pt idx="9">
                  <c:v>75.939404761904768</c:v>
                </c:pt>
                <c:pt idx="10">
                  <c:v>78.117023809523801</c:v>
                </c:pt>
                <c:pt idx="11">
                  <c:v>76.819999999999993</c:v>
                </c:pt>
                <c:pt idx="12">
                  <c:v>82.304380952380953</c:v>
                </c:pt>
                <c:pt idx="13">
                  <c:v>80.691904761904752</c:v>
                </c:pt>
                <c:pt idx="14">
                  <c:v>80.472535714285712</c:v>
                </c:pt>
                <c:pt idx="15">
                  <c:v>85.868571428571443</c:v>
                </c:pt>
                <c:pt idx="16">
                  <c:v>84.920952380952386</c:v>
                </c:pt>
                <c:pt idx="17">
                  <c:v>71.117261904761904</c:v>
                </c:pt>
                <c:pt idx="18">
                  <c:v>77.400142857142853</c:v>
                </c:pt>
                <c:pt idx="19">
                  <c:v>79.928749999999994</c:v>
                </c:pt>
                <c:pt idx="20">
                  <c:v>79.121428571428581</c:v>
                </c:pt>
                <c:pt idx="21">
                  <c:v>74.642857142857139</c:v>
                </c:pt>
                <c:pt idx="22">
                  <c:v>77.241071428571431</c:v>
                </c:pt>
                <c:pt idx="2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2-4142-8FDE-238F707325AE}"/>
            </c:ext>
          </c:extLst>
        </c:ser>
        <c:ser>
          <c:idx val="0"/>
          <c:order val="1"/>
          <c:tx>
            <c:strRef>
              <c:f>'Figure SA-6'!$C$1</c:f>
              <c:strCache>
                <c:ptCount val="1"/>
                <c:pt idx="0">
                  <c:v>Old seed use</c:v>
                </c:pt>
              </c:strCache>
            </c:strRef>
          </c:tx>
          <c:spPr>
            <a:ln w="25400">
              <a:prstDash val="dash"/>
            </a:ln>
          </c:spPr>
          <c:marker>
            <c:symbol val="none"/>
          </c:marker>
          <c:cat>
            <c:strRef>
              <c:f>'Figure SA-6'!$A$2:$A$25</c:f>
              <c:strCache>
                <c:ptCount val="24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</c:strCache>
            </c:strRef>
          </c:cat>
          <c:val>
            <c:numRef>
              <c:f>'Figure SA-6'!$C$2:$C$25</c:f>
              <c:numCache>
                <c:formatCode>_(* #,##0.00_);_(* \(#,##0.00\);_(* "-"??_);_(@_)</c:formatCode>
                <c:ptCount val="24"/>
                <c:pt idx="0">
                  <c:v>87.524638692532463</c:v>
                </c:pt>
                <c:pt idx="1">
                  <c:v>87.002987601261182</c:v>
                </c:pt>
                <c:pt idx="2">
                  <c:v>89.266510768098698</c:v>
                </c:pt>
                <c:pt idx="3">
                  <c:v>85.776325842657982</c:v>
                </c:pt>
                <c:pt idx="4">
                  <c:v>88.743054340064958</c:v>
                </c:pt>
                <c:pt idx="5">
                  <c:v>75.91299231171493</c:v>
                </c:pt>
                <c:pt idx="6">
                  <c:v>88.722640633786668</c:v>
                </c:pt>
                <c:pt idx="7">
                  <c:v>89.998634236713684</c:v>
                </c:pt>
                <c:pt idx="8">
                  <c:v>89.862474866087737</c:v>
                </c:pt>
                <c:pt idx="9">
                  <c:v>87.13188753223092</c:v>
                </c:pt>
                <c:pt idx="10">
                  <c:v>89.630459367763251</c:v>
                </c:pt>
                <c:pt idx="11">
                  <c:v>89.191583831596319</c:v>
                </c:pt>
                <c:pt idx="12">
                  <c:v>96.710520266032916</c:v>
                </c:pt>
                <c:pt idx="13">
                  <c:v>95.972094760736169</c:v>
                </c:pt>
                <c:pt idx="14">
                  <c:v>96.892804549573142</c:v>
                </c:pt>
                <c:pt idx="15">
                  <c:v>104.68226479334012</c:v>
                </c:pt>
                <c:pt idx="16">
                  <c:v>103.52702363332401</c:v>
                </c:pt>
                <c:pt idx="17">
                  <c:v>88.355630429373605</c:v>
                </c:pt>
                <c:pt idx="18">
                  <c:v>96.777860956767512</c:v>
                </c:pt>
                <c:pt idx="19">
                  <c:v>101.23744014834732</c:v>
                </c:pt>
                <c:pt idx="20">
                  <c:v>101.53350697830122</c:v>
                </c:pt>
                <c:pt idx="21">
                  <c:v>97.063478369193604</c:v>
                </c:pt>
                <c:pt idx="22">
                  <c:v>100.44212336984377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2-4142-8FDE-238F707325AE}"/>
            </c:ext>
          </c:extLst>
        </c:ser>
        <c:ser>
          <c:idx val="3"/>
          <c:order val="2"/>
          <c:tx>
            <c:strRef>
              <c:f>'Figure SA-6'!$D$1</c:f>
              <c:strCache>
                <c:ptCount val="1"/>
                <c:pt idx="0">
                  <c:v>New residual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'Figure SA-6'!$A$2:$A$25</c:f>
              <c:strCache>
                <c:ptCount val="24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</c:strCache>
            </c:strRef>
          </c:cat>
          <c:val>
            <c:numRef>
              <c:f>'Figure SA-6'!$D$2:$D$25</c:f>
              <c:numCache>
                <c:formatCode>_(* #,##0.00_);_(* \(#,##0.00\);_(* "-"??_);_(@_)</c:formatCode>
                <c:ptCount val="24"/>
                <c:pt idx="0">
                  <c:v>81.241507391446532</c:v>
                </c:pt>
                <c:pt idx="1">
                  <c:v>46.173514103596531</c:v>
                </c:pt>
                <c:pt idx="2">
                  <c:v>24.011077132020191</c:v>
                </c:pt>
                <c:pt idx="3">
                  <c:v>113.4827058799048</c:v>
                </c:pt>
                <c:pt idx="4">
                  <c:v>118.47726777143392</c:v>
                </c:pt>
                <c:pt idx="5">
                  <c:v>88.48160659080034</c:v>
                </c:pt>
                <c:pt idx="6">
                  <c:v>14.203537652307347</c:v>
                </c:pt>
                <c:pt idx="7">
                  <c:v>25.681050401862194</c:v>
                </c:pt>
                <c:pt idx="8">
                  <c:v>32.850243999535351</c:v>
                </c:pt>
                <c:pt idx="9">
                  <c:v>52.70963322527507</c:v>
                </c:pt>
                <c:pt idx="10">
                  <c:v>11.501897407621016</c:v>
                </c:pt>
                <c:pt idx="11">
                  <c:v>18.026966790852583</c:v>
                </c:pt>
                <c:pt idx="12">
                  <c:v>22.483283759741013</c:v>
                </c:pt>
                <c:pt idx="13">
                  <c:v>66.808551577243136</c:v>
                </c:pt>
                <c:pt idx="14">
                  <c:v>34.885162213823293</c:v>
                </c:pt>
                <c:pt idx="15">
                  <c:v>60.292961947538373</c:v>
                </c:pt>
                <c:pt idx="16">
                  <c:v>23.3496703061072</c:v>
                </c:pt>
                <c:pt idx="17">
                  <c:v>38.722740229133365</c:v>
                </c:pt>
                <c:pt idx="18">
                  <c:v>28.132130359434328</c:v>
                </c:pt>
                <c:pt idx="19">
                  <c:v>31.403818549563567</c:v>
                </c:pt>
                <c:pt idx="20">
                  <c:v>27.884514025460589</c:v>
                </c:pt>
                <c:pt idx="21">
                  <c:v>26.706153039854229</c:v>
                </c:pt>
                <c:pt idx="22">
                  <c:v>36.524436941272342</c:v>
                </c:pt>
                <c:pt idx="2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2-4142-8FDE-238F707325AE}"/>
            </c:ext>
          </c:extLst>
        </c:ser>
        <c:ser>
          <c:idx val="1"/>
          <c:order val="3"/>
          <c:tx>
            <c:strRef>
              <c:f>'Figure SA-6'!$E$1</c:f>
              <c:strCache>
                <c:ptCount val="1"/>
                <c:pt idx="0">
                  <c:v>Old residual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strRef>
              <c:f>'Figure SA-6'!$A$2:$A$25</c:f>
              <c:strCache>
                <c:ptCount val="24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  <c:pt idx="15">
                  <c:v>2016/17</c:v>
                </c:pt>
                <c:pt idx="16">
                  <c:v>2017/18</c:v>
                </c:pt>
                <c:pt idx="17">
                  <c:v>2018/19</c:v>
                </c:pt>
                <c:pt idx="18">
                  <c:v>2019/20</c:v>
                </c:pt>
                <c:pt idx="19">
                  <c:v>2020/21</c:v>
                </c:pt>
                <c:pt idx="20">
                  <c:v>2021/22</c:v>
                </c:pt>
                <c:pt idx="21">
                  <c:v>2022/23</c:v>
                </c:pt>
                <c:pt idx="22">
                  <c:v>2023/24</c:v>
                </c:pt>
                <c:pt idx="23">
                  <c:v>2024/25</c:v>
                </c:pt>
              </c:strCache>
            </c:strRef>
          </c:cat>
          <c:val>
            <c:numRef>
              <c:f>'Figure SA-6'!$E$2:$E$25</c:f>
              <c:numCache>
                <c:formatCode>_(* #,##0.00_);_(* \(#,##0.00\);_(* "-"??_);_(@_)</c:formatCode>
                <c:ptCount val="24"/>
                <c:pt idx="0">
                  <c:v>81.768059175104554</c:v>
                </c:pt>
                <c:pt idx="1">
                  <c:v>44.371597930906773</c:v>
                </c:pt>
                <c:pt idx="2">
                  <c:v>19.801233030588151</c:v>
                </c:pt>
                <c:pt idx="3">
                  <c:v>107.02733241819919</c:v>
                </c:pt>
                <c:pt idx="4">
                  <c:v>110.65064200279755</c:v>
                </c:pt>
                <c:pt idx="5">
                  <c:v>81.163245231466362</c:v>
                </c:pt>
                <c:pt idx="6">
                  <c:v>4.8045160661397404</c:v>
                </c:pt>
                <c:pt idx="7">
                  <c:v>15.899523308005655</c:v>
                </c:pt>
                <c:pt idx="8">
                  <c:v>22.234721514400007</c:v>
                </c:pt>
                <c:pt idx="9">
                  <c:v>41.517150454948933</c:v>
                </c:pt>
                <c:pt idx="10">
                  <c:v>-1.1538150618434884E-2</c:v>
                </c:pt>
                <c:pt idx="11">
                  <c:v>5.6553829592562579</c:v>
                </c:pt>
                <c:pt idx="12">
                  <c:v>8.0771444460890507</c:v>
                </c:pt>
                <c:pt idx="13">
                  <c:v>51.528361578411705</c:v>
                </c:pt>
                <c:pt idx="14">
                  <c:v>18.464893378535862</c:v>
                </c:pt>
                <c:pt idx="15">
                  <c:v>41.479268582769691</c:v>
                </c:pt>
                <c:pt idx="16">
                  <c:v>4.7435990537355792</c:v>
                </c:pt>
                <c:pt idx="17">
                  <c:v>21.484371704521664</c:v>
                </c:pt>
                <c:pt idx="18">
                  <c:v>8.7544122598096692</c:v>
                </c:pt>
                <c:pt idx="19">
                  <c:v>10.095128401216243</c:v>
                </c:pt>
                <c:pt idx="20">
                  <c:v>5.4724356185879515</c:v>
                </c:pt>
                <c:pt idx="21">
                  <c:v>4.285531813517764</c:v>
                </c:pt>
                <c:pt idx="22">
                  <c:v>13.323384999999998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32-4142-8FDE-238F70732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561034053424"/>
              <c:y val="0.826046059286483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0724434838631871E-3"/>
              <c:y val="9.168178736500380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570258373084261"/>
          <c:y val="0.13108393605140192"/>
          <c:w val="0.4782420172045686"/>
          <c:h val="9.9957857211943682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369360</xdr:colOff>
      <xdr:row>0</xdr:row>
      <xdr:rowOff>84667</xdr:rowOff>
    </xdr:from>
    <xdr:to>
      <xdr:col>19</xdr:col>
      <xdr:colOff>174627</xdr:colOff>
      <xdr:row>22</xdr:row>
      <xdr:rowOff>71968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15DB43-9462-4AF0-B9F1-DFA9408B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1743075</xdr:colOff>
      <xdr:row>23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23EA04-D760-4370-A895-BF3FFF07C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4</xdr:row>
      <xdr:rowOff>57150</xdr:rowOff>
    </xdr:from>
    <xdr:to>
      <xdr:col>9</xdr:col>
      <xdr:colOff>133352</xdr:colOff>
      <xdr:row>23</xdr:row>
      <xdr:rowOff>110491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2AAB852-C3F9-4E62-BC5C-474F4932D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0.85826</cdr:y>
    </cdr:from>
    <cdr:to>
      <cdr:x>1</cdr:x>
      <cdr:y>0.96447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315130"/>
          <a:ext cx="4145280" cy="286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(ERS) estimates based on the 1997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</a:t>
          </a: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Agricultural Resource Management Survey (ARMS),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jointly administered by USDA, ERS and USDA, National Agricultural Statistics Service.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0.86885</cdr:y>
    </cdr:from>
    <cdr:to>
      <cdr:x>1</cdr:x>
      <cdr:y>0.97506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60119"/>
          <a:ext cx="5539740" cy="349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(ERS) estimates based on the 1997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</a:t>
          </a: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Agricultural Resource Management Survey (ARMS),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jointly administered by USDA, ERS and USDA, National Agricultural Statistics Service.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1</xdr:row>
      <xdr:rowOff>114300</xdr:rowOff>
    </xdr:from>
    <xdr:to>
      <xdr:col>11</xdr:col>
      <xdr:colOff>333374</xdr:colOff>
      <xdr:row>27</xdr:row>
      <xdr:rowOff>38100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1A11E65D-C974-06C3-EDFE-A76039622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0.91458</cdr:y>
    </cdr:from>
    <cdr:to>
      <cdr:x>1</cdr:x>
      <cdr:y>0.97506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45180"/>
          <a:ext cx="6464618" cy="221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Commodity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Costs and Returns data.</a:t>
          </a:r>
          <a:endParaRPr lang="en-US" sz="800" b="0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47625</xdr:rowOff>
    </xdr:from>
    <xdr:to>
      <xdr:col>14</xdr:col>
      <xdr:colOff>377190</xdr:colOff>
      <xdr:row>22</xdr:row>
      <xdr:rowOff>66675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1DDAF2C4-2D7F-42A6-A308-B29A44FE5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0.83665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722245"/>
          <a:ext cx="5258428" cy="53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MY = marketing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year.</a:t>
          </a:r>
        </a:p>
        <a:p xmlns:a="http://schemas.openxmlformats.org/drawingml/2006/main"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(*) denotes a forecast.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World Agricultural Outlook Board, May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2024 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1</xdr:row>
      <xdr:rowOff>30480</xdr:rowOff>
    </xdr:from>
    <xdr:to>
      <xdr:col>16</xdr:col>
      <xdr:colOff>224790</xdr:colOff>
      <xdr:row>23</xdr:row>
      <xdr:rowOff>59055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B2F4EA10-C5FE-4CC9-AF8A-5D53B14CF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0.85645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46095"/>
          <a:ext cx="6294525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MY = marketing year.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(*) denotes a forecast.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World Agricultural Outlook Board, May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2024 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0.88168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64466"/>
          <a:ext cx="6070600" cy="442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Other includes: Copra and palm kernel.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May 2024.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0.00586</cdr:x>
      <cdr:y>0.11373</cdr:y>
    </cdr:from>
    <cdr:to>
      <cdr:x>0.18661</cdr:x>
      <cdr:y>0.15422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93206985-DA7A-4350-ACA2-E585D1AF9617}"/>
            </a:ext>
          </a:extLst>
        </cdr:cNvPr>
        <cdr:cNvSpPr/>
      </cdr:nvSpPr>
      <cdr:spPr bwMode="auto">
        <a:xfrm xmlns:a="http://schemas.openxmlformats.org/drawingml/2006/main">
          <a:off x="34807" y="415016"/>
          <a:ext cx="1074306" cy="147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696595</xdr:colOff>
      <xdr:row>0</xdr:row>
      <xdr:rowOff>146685</xdr:rowOff>
    </xdr:from>
    <xdr:to>
      <xdr:col>11</xdr:col>
      <xdr:colOff>588010</xdr:colOff>
      <xdr:row>23</xdr:row>
      <xdr:rowOff>85725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id="{43B537E1-CC9D-4BDA-8DA8-1EB8AB468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0.87172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47975"/>
          <a:ext cx="5124450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(*) denotes a forecast.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USDA,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May 2024.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153671</xdr:colOff>
      <xdr:row>0</xdr:row>
      <xdr:rowOff>59267</xdr:rowOff>
    </xdr:from>
    <xdr:to>
      <xdr:col>17</xdr:col>
      <xdr:colOff>524933</xdr:colOff>
      <xdr:row>24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338A73-7B9D-46A4-990E-A5027B3CA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0.91181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45417"/>
          <a:ext cx="6859571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USDA, Foreign Agricultural Service,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database, May 2024.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57149</xdr:rowOff>
    </xdr:from>
    <xdr:to>
      <xdr:col>12</xdr:col>
      <xdr:colOff>352425</xdr:colOff>
      <xdr:row>19</xdr:row>
      <xdr:rowOff>142874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A3D01B3A-9255-C19E-A136-33068A28C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0.86417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48025"/>
          <a:ext cx="5855372" cy="510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(ERS) estimates based on the 1997, 2002, 2006, 2012, and 2018 Agricultural Resource Management Survey (ARMS),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jointly 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administered by USDA, ERS and USDA, National Agricultural Statistics Service.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520065</xdr:colOff>
      <xdr:row>14</xdr:row>
      <xdr:rowOff>38100</xdr:rowOff>
    </xdr:from>
    <xdr:to>
      <xdr:col>10</xdr:col>
      <xdr:colOff>133350</xdr:colOff>
      <xdr:row>17</xdr:row>
      <xdr:rowOff>119565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5C5734-E56C-4724-8B00-44AF1CB5B5F8}"/>
            </a:ext>
          </a:extLst>
        </xdr:cNvPr>
        <xdr:cNvSpPr txBox="1"/>
      </xdr:nvSpPr>
      <xdr:spPr>
        <a:xfrm>
          <a:off x="3549015" y="2705100"/>
          <a:ext cx="4490085" cy="6529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Grey areas include States for which no data are available. Hawaii and Alaska are excluded as data are not available.</a:t>
          </a:r>
          <a:endParaRPr lang="en-US" sz="8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(ERS) estimates based on the 2018 Agricultural Resource Management Survey (ARMS),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jointly administered by USDA, ERS and USDA, National Agricultural Statistics Service.</a:t>
          </a:r>
        </a:p>
      </xdr:txBody>
    </xdr:sp>
    <xdr:clientData/>
  </xdr:twoCellAnchor>
  <xdr:twoCellAnchor>
    <xdr:from>
      <xdr:col>3</xdr:col>
      <xdr:colOff>85725</xdr:colOff>
      <xdr:row>0</xdr:row>
      <xdr:rowOff>0</xdr:rowOff>
    </xdr:from>
    <xdr:to>
      <xdr:col>10</xdr:col>
      <xdr:colOff>308610</xdr:colOff>
      <xdr:row>3</xdr:row>
      <xdr:rowOff>81465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331A49A5-86B8-42D7-B5C5-FCB4676AD81F}"/>
            </a:ext>
          </a:extLst>
        </xdr:cNvPr>
        <xdr:cNvSpPr txBox="1"/>
      </xdr:nvSpPr>
      <xdr:spPr>
        <a:xfrm>
          <a:off x="3724275" y="0"/>
          <a:ext cx="4490085" cy="6529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SA-2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Soybean seeding rates by State,</a:t>
          </a:r>
          <a:r>
            <a:rPr lang="en-US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2018</a:t>
          </a:r>
          <a:endParaRPr lang="en-US" sz="11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510540</xdr:colOff>
      <xdr:row>0</xdr:row>
      <xdr:rowOff>144780</xdr:rowOff>
    </xdr:from>
    <xdr:to>
      <xdr:col>9</xdr:col>
      <xdr:colOff>337067</xdr:colOff>
      <xdr:row>15</xdr:row>
      <xdr:rowOff>60960</xdr:rowOff>
    </xdr:to>
    <xdr:pic>
      <xdr:nvPicPr>
        <xdr:cNvPr id="4" name="Picture 3" descr="Map&#10;&#10;Description automatically generated">
          <a:extLst>
            <a:ext uri="{FF2B5EF4-FFF2-40B4-BE49-F238E27FC236}">
              <a16:creationId xmlns:a16="http://schemas.microsoft.com/office/drawing/2014/main" id="{A5FED522-FC28-460B-8027-3331C726B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9490" y="144780"/>
          <a:ext cx="4093727" cy="283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5703125" defaultRowHeight="14.25"/>
  <cols>
    <col min="1" max="1" width="166.85546875" style="12" customWidth="1"/>
    <col min="2" max="16384" width="9.5703125" style="1"/>
  </cols>
  <sheetData>
    <row r="1" spans="1:3" ht="15">
      <c r="A1" s="7" t="s">
        <v>0</v>
      </c>
      <c r="B1" s="85"/>
      <c r="C1" s="8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5"/>
    </row>
    <row r="5" spans="1:3">
      <c r="A5" s="10" t="s">
        <v>3</v>
      </c>
      <c r="B5" s="4"/>
      <c r="C5" s="85"/>
    </row>
    <row r="6" spans="1:3">
      <c r="A6" s="10" t="s">
        <v>4</v>
      </c>
      <c r="B6" s="4"/>
      <c r="C6" s="85"/>
    </row>
    <row r="7" spans="1:3">
      <c r="A7" s="10" t="s">
        <v>5</v>
      </c>
      <c r="B7" s="4"/>
      <c r="C7" s="85"/>
    </row>
    <row r="8" spans="1:3">
      <c r="A8" s="10" t="s">
        <v>6</v>
      </c>
      <c r="B8" s="4"/>
      <c r="C8" s="85"/>
    </row>
    <row r="9" spans="1:3">
      <c r="A9" s="10" t="s">
        <v>7</v>
      </c>
      <c r="B9" s="4"/>
      <c r="C9" s="85"/>
    </row>
    <row r="10" spans="1:3">
      <c r="A10" s="10" t="s">
        <v>8</v>
      </c>
      <c r="B10" s="4"/>
      <c r="C10" s="85"/>
    </row>
    <row r="11" spans="1:3">
      <c r="A11" s="10" t="s">
        <v>9</v>
      </c>
      <c r="B11" s="4"/>
      <c r="C11" s="85"/>
    </row>
    <row r="12" spans="1:3">
      <c r="A12" s="10" t="s">
        <v>10</v>
      </c>
      <c r="B12" s="4"/>
      <c r="C12" s="85"/>
    </row>
    <row r="13" spans="1:3">
      <c r="A13" s="11" t="s">
        <v>11</v>
      </c>
      <c r="B13" s="4"/>
      <c r="C13" s="85"/>
    </row>
    <row r="14" spans="1:3" ht="12.75">
      <c r="A14" s="85"/>
      <c r="B14" s="85"/>
      <c r="C14" s="85"/>
    </row>
    <row r="15" spans="1:3" ht="15">
      <c r="A15" s="7" t="s">
        <v>12</v>
      </c>
      <c r="B15" s="85"/>
      <c r="C15" s="85"/>
    </row>
    <row r="16" spans="1:3" ht="15">
      <c r="A16" s="9">
        <v>45426</v>
      </c>
      <c r="B16" s="85"/>
      <c r="C16" s="8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E6BD-6D29-4E66-B8E0-F1D6682B9C63}">
  <dimension ref="A1:K24"/>
  <sheetViews>
    <sheetView workbookViewId="0"/>
  </sheetViews>
  <sheetFormatPr defaultColWidth="8.85546875" defaultRowHeight="12.75"/>
  <cols>
    <col min="1" max="1" width="33" style="130" bestFit="1" customWidth="1"/>
    <col min="2" max="2" width="24.140625" style="130" bestFit="1" customWidth="1"/>
    <col min="3" max="3" width="27.5703125" style="130" bestFit="1" customWidth="1"/>
    <col min="4" max="4" width="28.140625" style="130" bestFit="1" customWidth="1"/>
    <col min="5" max="5" width="22.140625" style="130" bestFit="1" customWidth="1"/>
    <col min="6" max="6" width="18.42578125" style="130" bestFit="1" customWidth="1"/>
    <col min="7" max="7" width="11.42578125" style="130" bestFit="1" customWidth="1"/>
    <col min="8" max="9" width="8.85546875" style="130"/>
    <col min="10" max="10" width="11.5703125" style="130" bestFit="1" customWidth="1"/>
    <col min="11" max="11" width="10.5703125" style="130" bestFit="1" customWidth="1"/>
    <col min="12" max="16384" width="8.85546875" style="130"/>
  </cols>
  <sheetData>
    <row r="1" spans="1:8" ht="15">
      <c r="A1" s="162" t="s">
        <v>218</v>
      </c>
      <c r="B1" s="162" t="s">
        <v>21</v>
      </c>
      <c r="C1" s="162" t="s">
        <v>30</v>
      </c>
      <c r="D1" s="162" t="s">
        <v>26</v>
      </c>
      <c r="E1" s="154"/>
      <c r="F1" s="154"/>
      <c r="G1" s="149"/>
    </row>
    <row r="2" spans="1:8" ht="14.25">
      <c r="A2" s="182">
        <v>2013</v>
      </c>
      <c r="B2" s="163">
        <v>37622</v>
      </c>
      <c r="C2" s="163">
        <v>45692</v>
      </c>
      <c r="D2" s="163">
        <v>86200</v>
      </c>
      <c r="E2" s="161"/>
      <c r="F2" s="161"/>
      <c r="G2" s="150"/>
      <c r="H2" s="152"/>
    </row>
    <row r="3" spans="1:8" ht="14.25">
      <c r="A3" s="182">
        <v>2014</v>
      </c>
      <c r="B3" s="163">
        <v>40556</v>
      </c>
      <c r="C3" s="163">
        <v>54324</v>
      </c>
      <c r="D3" s="163">
        <v>97100</v>
      </c>
      <c r="E3" s="161"/>
      <c r="F3" s="161"/>
      <c r="G3" s="150"/>
      <c r="H3" s="152"/>
    </row>
    <row r="4" spans="1:8" ht="14.25">
      <c r="A4" s="182">
        <v>2015</v>
      </c>
      <c r="B4" s="163">
        <v>39531</v>
      </c>
      <c r="C4" s="163">
        <v>51582</v>
      </c>
      <c r="D4" s="163">
        <v>95700</v>
      </c>
      <c r="E4" s="161"/>
      <c r="F4" s="161"/>
      <c r="G4" s="150"/>
      <c r="H4" s="152"/>
    </row>
    <row r="5" spans="1:8" ht="14.25">
      <c r="A5" s="182">
        <v>2016</v>
      </c>
      <c r="B5" s="163">
        <v>41837</v>
      </c>
      <c r="C5" s="163">
        <v>68155</v>
      </c>
      <c r="D5" s="163">
        <v>114900</v>
      </c>
      <c r="E5" s="161"/>
      <c r="F5" s="161"/>
      <c r="G5" s="150"/>
      <c r="H5" s="152"/>
    </row>
    <row r="6" spans="1:8" ht="14.25">
      <c r="A6" s="182">
        <v>2017</v>
      </c>
      <c r="B6" s="163">
        <v>43556</v>
      </c>
      <c r="C6" s="163">
        <v>83258</v>
      </c>
      <c r="D6" s="163">
        <v>123400</v>
      </c>
      <c r="E6" s="161"/>
      <c r="F6" s="161"/>
      <c r="G6" s="150"/>
      <c r="H6" s="152"/>
    </row>
    <row r="7" spans="1:8" ht="14.25">
      <c r="A7" s="182">
        <v>2018</v>
      </c>
      <c r="B7" s="163">
        <v>43454</v>
      </c>
      <c r="C7" s="163">
        <v>74073</v>
      </c>
      <c r="D7" s="163">
        <v>120500</v>
      </c>
      <c r="E7" s="161"/>
      <c r="F7" s="161"/>
      <c r="G7" s="150"/>
      <c r="H7" s="152"/>
    </row>
    <row r="8" spans="1:8" ht="14.25">
      <c r="A8" s="182">
        <v>2019</v>
      </c>
      <c r="B8" s="163">
        <v>46845</v>
      </c>
      <c r="C8" s="163">
        <v>82973</v>
      </c>
      <c r="D8" s="163">
        <v>128500</v>
      </c>
      <c r="E8" s="161"/>
      <c r="F8" s="161"/>
      <c r="G8" s="128"/>
      <c r="H8" s="152"/>
    </row>
    <row r="9" spans="1:8" ht="14.25">
      <c r="A9" s="182">
        <v>2020</v>
      </c>
      <c r="B9" s="163">
        <v>47781</v>
      </c>
      <c r="C9" s="163">
        <v>86110</v>
      </c>
      <c r="D9" s="163">
        <v>139500</v>
      </c>
      <c r="E9" s="161"/>
      <c r="F9" s="161"/>
      <c r="G9" s="128"/>
    </row>
    <row r="10" spans="1:8" ht="14.25">
      <c r="A10" s="182">
        <v>2021</v>
      </c>
      <c r="B10" s="163">
        <v>50932</v>
      </c>
      <c r="C10" s="163">
        <v>78730</v>
      </c>
      <c r="D10" s="163">
        <v>130500</v>
      </c>
      <c r="E10" s="161"/>
      <c r="F10" s="161"/>
      <c r="G10" s="128"/>
    </row>
    <row r="11" spans="1:8" ht="14.25">
      <c r="A11" s="182">
        <v>2022</v>
      </c>
      <c r="B11" s="163">
        <v>54165</v>
      </c>
      <c r="C11" s="163">
        <v>101870</v>
      </c>
      <c r="D11" s="163">
        <v>162000</v>
      </c>
      <c r="E11" s="161"/>
      <c r="F11" s="161"/>
      <c r="G11" s="128"/>
    </row>
    <row r="12" spans="1:8" ht="14.25">
      <c r="A12" s="182" t="s">
        <v>216</v>
      </c>
      <c r="B12" s="163">
        <v>54000</v>
      </c>
      <c r="C12" s="163">
        <v>98000</v>
      </c>
      <c r="D12" s="163">
        <v>154000</v>
      </c>
      <c r="E12" s="128"/>
      <c r="F12" s="128"/>
      <c r="G12" s="128"/>
    </row>
    <row r="13" spans="1:8" ht="14.25">
      <c r="A13" s="182" t="s">
        <v>217</v>
      </c>
      <c r="B13" s="183">
        <v>54500</v>
      </c>
      <c r="C13" s="183">
        <v>109000</v>
      </c>
      <c r="D13" s="183">
        <v>169000</v>
      </c>
      <c r="E13" s="128"/>
      <c r="F13" s="128"/>
      <c r="G13" s="128"/>
    </row>
    <row r="14" spans="1:8" ht="14.25">
      <c r="B14" s="128"/>
      <c r="C14" s="128"/>
      <c r="D14" s="128"/>
      <c r="E14" s="128"/>
      <c r="F14" s="128"/>
      <c r="G14" s="128"/>
    </row>
    <row r="15" spans="1:8" ht="14.25">
      <c r="B15" s="128"/>
      <c r="C15" s="128"/>
      <c r="D15" s="128"/>
      <c r="E15" s="128"/>
      <c r="F15" s="128"/>
      <c r="G15" s="128"/>
    </row>
    <row r="16" spans="1:8" ht="14.25">
      <c r="B16" s="128"/>
      <c r="C16" s="128"/>
      <c r="D16" s="128"/>
      <c r="E16" s="128"/>
    </row>
    <row r="17" spans="2:11" ht="14.25">
      <c r="B17" s="128"/>
      <c r="C17" s="128"/>
      <c r="D17" s="128"/>
      <c r="E17" s="128"/>
    </row>
    <row r="18" spans="2:11" ht="14.25">
      <c r="B18" s="128"/>
      <c r="C18" s="128"/>
      <c r="D18" s="128"/>
      <c r="E18" s="128"/>
    </row>
    <row r="19" spans="2:11" ht="14.25">
      <c r="B19" s="128"/>
      <c r="C19" s="128"/>
      <c r="D19" s="128"/>
      <c r="E19" s="128"/>
      <c r="J19" s="129"/>
      <c r="K19" s="131"/>
    </row>
    <row r="20" spans="2:11" ht="14.25">
      <c r="B20" s="128"/>
      <c r="C20" s="128"/>
      <c r="D20" s="128"/>
      <c r="E20" s="128"/>
      <c r="J20" s="129"/>
      <c r="K20" s="131"/>
    </row>
    <row r="21" spans="2:11" ht="14.25">
      <c r="B21" s="128"/>
      <c r="C21" s="128"/>
      <c r="D21" s="128"/>
      <c r="E21" s="128"/>
      <c r="J21" s="129"/>
      <c r="K21" s="131"/>
    </row>
    <row r="22" spans="2:11" ht="14.25">
      <c r="B22" s="128"/>
      <c r="C22" s="128"/>
      <c r="D22" s="128"/>
      <c r="E22" s="128"/>
      <c r="J22" s="129"/>
      <c r="K22" s="131"/>
    </row>
    <row r="23" spans="2:11" ht="14.25">
      <c r="B23" s="128"/>
      <c r="J23" s="129"/>
      <c r="K23" s="131"/>
    </row>
    <row r="24" spans="2:11">
      <c r="B24" s="152"/>
      <c r="J24" s="129"/>
    </row>
  </sheetData>
  <phoneticPr fontId="66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5B1F-F1DC-48AB-BC98-2A80471F0B09}">
  <dimension ref="A1:H44"/>
  <sheetViews>
    <sheetView zoomScale="90" zoomScaleNormal="90" workbookViewId="0"/>
  </sheetViews>
  <sheetFormatPr defaultColWidth="8.85546875" defaultRowHeight="12.75"/>
  <cols>
    <col min="1" max="1" width="14.42578125" style="137" customWidth="1"/>
    <col min="2" max="2" width="10" style="137" customWidth="1"/>
    <col min="3" max="3" width="10.85546875" style="137" customWidth="1"/>
    <col min="4" max="4" width="15" style="137" customWidth="1"/>
    <col min="5" max="5" width="15.42578125" style="137" customWidth="1"/>
    <col min="6" max="16384" width="8.85546875" style="137"/>
  </cols>
  <sheetData>
    <row r="1" spans="1:8" ht="25.5">
      <c r="A1" s="136" t="s">
        <v>153</v>
      </c>
      <c r="B1" s="136" t="s">
        <v>157</v>
      </c>
      <c r="C1" s="136" t="s">
        <v>158</v>
      </c>
      <c r="D1" s="136" t="s">
        <v>159</v>
      </c>
      <c r="E1" s="136" t="s">
        <v>155</v>
      </c>
      <c r="F1" s="147"/>
    </row>
    <row r="2" spans="1:8">
      <c r="A2" s="138" t="s">
        <v>112</v>
      </c>
      <c r="B2" s="139">
        <v>10.846</v>
      </c>
      <c r="C2" s="139">
        <v>6.6829999999999998</v>
      </c>
      <c r="D2" s="139">
        <v>4.766</v>
      </c>
      <c r="E2" s="140">
        <v>2.59</v>
      </c>
      <c r="F2" s="147"/>
    </row>
    <row r="3" spans="1:8">
      <c r="A3" s="138" t="s">
        <v>113</v>
      </c>
      <c r="B3" s="139">
        <v>8.6340000000000003</v>
      </c>
      <c r="C3" s="139">
        <v>5.71</v>
      </c>
      <c r="D3" s="139">
        <v>4.1929999999999996</v>
      </c>
      <c r="E3" s="140">
        <v>2.0379999999999998</v>
      </c>
      <c r="F3" s="144"/>
    </row>
    <row r="4" spans="1:8">
      <c r="A4" s="138" t="s">
        <v>114</v>
      </c>
      <c r="B4" s="139">
        <v>10.404999999999999</v>
      </c>
      <c r="C4" s="139">
        <v>4.2489999999999997</v>
      </c>
      <c r="D4" s="139">
        <v>4.3789999999999996</v>
      </c>
      <c r="E4" s="140">
        <v>2.6160000000000001</v>
      </c>
      <c r="F4" s="144"/>
    </row>
    <row r="5" spans="1:8">
      <c r="A5" s="138" t="s">
        <v>115</v>
      </c>
      <c r="B5" s="139">
        <v>12.997</v>
      </c>
      <c r="C5" s="139">
        <v>3.395</v>
      </c>
      <c r="D5" s="139">
        <v>4.548</v>
      </c>
      <c r="E5" s="140">
        <v>2.6059999999999999</v>
      </c>
      <c r="F5" s="144"/>
    </row>
    <row r="6" spans="1:8">
      <c r="A6" s="138" t="s">
        <v>116</v>
      </c>
      <c r="B6" s="139">
        <v>15.003</v>
      </c>
      <c r="C6" s="139">
        <v>2.9630000000000001</v>
      </c>
      <c r="D6" s="139">
        <v>4.835</v>
      </c>
      <c r="E6" s="140">
        <v>2.4430000000000001</v>
      </c>
      <c r="F6" s="144"/>
    </row>
    <row r="7" spans="1:8">
      <c r="A7" s="138" t="s">
        <v>117</v>
      </c>
      <c r="B7" s="139">
        <v>15.939</v>
      </c>
      <c r="C7" s="139">
        <v>2.9119999999999999</v>
      </c>
      <c r="D7" s="139">
        <v>5.6529999999999996</v>
      </c>
      <c r="E7" s="140">
        <v>3.012</v>
      </c>
      <c r="F7" s="144"/>
    </row>
    <row r="8" spans="1:8">
      <c r="A8" s="138" t="s">
        <v>118</v>
      </c>
      <c r="B8" s="141">
        <v>15.092000000000001</v>
      </c>
      <c r="C8" s="140">
        <v>3.6619999999999999</v>
      </c>
      <c r="D8" s="140">
        <v>5.9160000000000004</v>
      </c>
      <c r="E8" s="140">
        <v>2.0430000000000001</v>
      </c>
      <c r="F8" s="144"/>
    </row>
    <row r="9" spans="1:8">
      <c r="A9" s="138" t="s">
        <v>34</v>
      </c>
      <c r="B9" s="142">
        <v>16.417000000000002</v>
      </c>
      <c r="C9" s="140">
        <v>2.5870000000000002</v>
      </c>
      <c r="D9" s="140">
        <v>5.1020000000000003</v>
      </c>
      <c r="E9" s="140">
        <v>2.645</v>
      </c>
      <c r="F9" s="144"/>
    </row>
    <row r="10" spans="1:8">
      <c r="A10" s="138" t="s">
        <v>37</v>
      </c>
      <c r="B10" s="141">
        <v>17.79</v>
      </c>
      <c r="C10" s="140">
        <v>3.1150000000000002</v>
      </c>
      <c r="D10" s="145">
        <v>5.0069999999999997</v>
      </c>
      <c r="E10" s="145">
        <v>3.153</v>
      </c>
      <c r="F10" s="144"/>
      <c r="G10" s="146"/>
    </row>
    <row r="11" spans="1:8">
      <c r="A11" s="138" t="s">
        <v>154</v>
      </c>
      <c r="B11" s="142">
        <v>17.661999999999999</v>
      </c>
      <c r="C11" s="140">
        <v>3.4489999999999998</v>
      </c>
      <c r="D11" s="145">
        <v>5.3049999999999997</v>
      </c>
      <c r="E11" s="145">
        <v>2.7090000000000001</v>
      </c>
      <c r="F11" s="160"/>
    </row>
    <row r="12" spans="1:8">
      <c r="A12" s="138" t="s">
        <v>156</v>
      </c>
      <c r="B12" s="141">
        <v>16.693000000000001</v>
      </c>
      <c r="C12" s="140">
        <v>2.831</v>
      </c>
      <c r="D12" s="145">
        <v>5.2839999999999998</v>
      </c>
      <c r="E12" s="145">
        <v>2.516</v>
      </c>
      <c r="F12" s="160"/>
      <c r="G12" s="144"/>
      <c r="H12" s="148"/>
    </row>
    <row r="13" spans="1:8">
      <c r="B13" s="143"/>
      <c r="F13" s="144"/>
      <c r="G13" s="148"/>
    </row>
    <row r="14" spans="1:8">
      <c r="B14" s="151"/>
      <c r="C14" s="151"/>
      <c r="D14" s="151"/>
      <c r="E14" s="151"/>
    </row>
    <row r="15" spans="1:8">
      <c r="B15" s="143"/>
    </row>
    <row r="16" spans="1:8">
      <c r="B16" s="143"/>
      <c r="C16" s="143"/>
      <c r="D16" s="143"/>
      <c r="E16" s="143"/>
    </row>
    <row r="17" spans="2:5">
      <c r="B17" s="143"/>
      <c r="C17" s="143"/>
      <c r="D17" s="143"/>
      <c r="E17" s="143"/>
    </row>
    <row r="18" spans="2:5">
      <c r="B18" s="143"/>
      <c r="C18" s="143"/>
      <c r="D18" s="143"/>
      <c r="E18" s="143"/>
    </row>
    <row r="19" spans="2:5">
      <c r="B19" s="143"/>
      <c r="C19" s="143"/>
      <c r="D19" s="143"/>
      <c r="E19" s="143"/>
    </row>
    <row r="20" spans="2:5">
      <c r="B20" s="143"/>
      <c r="C20" s="143"/>
      <c r="D20" s="143"/>
      <c r="E20" s="143"/>
    </row>
    <row r="21" spans="2:5">
      <c r="B21" s="143"/>
      <c r="C21" s="143"/>
      <c r="D21" s="143"/>
      <c r="E21" s="143"/>
    </row>
    <row r="22" spans="2:5">
      <c r="B22" s="143"/>
      <c r="C22" s="143"/>
      <c r="D22" s="143"/>
      <c r="E22" s="143"/>
    </row>
    <row r="23" spans="2:5">
      <c r="B23" s="143"/>
      <c r="C23" s="143"/>
      <c r="D23" s="143"/>
      <c r="E23" s="143"/>
    </row>
    <row r="24" spans="2:5">
      <c r="B24" s="143"/>
      <c r="C24" s="143"/>
      <c r="D24" s="143"/>
      <c r="E24" s="143"/>
    </row>
    <row r="25" spans="2:5">
      <c r="B25" s="143"/>
      <c r="C25" s="143"/>
      <c r="D25" s="143"/>
      <c r="E25" s="143"/>
    </row>
    <row r="26" spans="2:5">
      <c r="B26" s="113"/>
    </row>
    <row r="27" spans="2:5">
      <c r="B27" s="113"/>
    </row>
    <row r="28" spans="2:5">
      <c r="B28" s="113"/>
    </row>
    <row r="29" spans="2:5">
      <c r="B29" s="113"/>
    </row>
    <row r="30" spans="2:5">
      <c r="B30" s="113"/>
    </row>
    <row r="31" spans="2:5">
      <c r="B31" s="113"/>
    </row>
    <row r="32" spans="2:5">
      <c r="B32" s="113"/>
    </row>
    <row r="33" spans="2:2">
      <c r="B33" s="113"/>
    </row>
    <row r="34" spans="2:2">
      <c r="B34" s="113"/>
    </row>
    <row r="35" spans="2:2">
      <c r="B35" s="113"/>
    </row>
    <row r="36" spans="2:2">
      <c r="B36" s="113"/>
    </row>
    <row r="37" spans="2:2">
      <c r="B37" s="113"/>
    </row>
    <row r="38" spans="2:2">
      <c r="B38" s="113"/>
    </row>
    <row r="39" spans="2:2">
      <c r="B39" s="113"/>
    </row>
    <row r="40" spans="2:2">
      <c r="B40" s="113"/>
    </row>
    <row r="41" spans="2:2">
      <c r="B41" s="113"/>
    </row>
    <row r="42" spans="2:2">
      <c r="B42" s="113"/>
    </row>
    <row r="43" spans="2:2">
      <c r="B43" s="113"/>
    </row>
    <row r="44" spans="2:2">
      <c r="B44" s="113"/>
    </row>
  </sheetData>
  <phoneticPr fontId="43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4A08-40F8-4D5D-8AA8-D130F0590667}">
  <dimension ref="A1:F11"/>
  <sheetViews>
    <sheetView workbookViewId="0"/>
  </sheetViews>
  <sheetFormatPr defaultRowHeight="12.75"/>
  <sheetData>
    <row r="1" spans="1:6" ht="25.5">
      <c r="A1" s="136" t="s">
        <v>168</v>
      </c>
      <c r="B1" s="136" t="s">
        <v>169</v>
      </c>
      <c r="C1" s="136" t="s">
        <v>170</v>
      </c>
      <c r="D1" s="164"/>
      <c r="E1" s="136"/>
      <c r="F1" s="155"/>
    </row>
    <row r="2" spans="1:6">
      <c r="A2" s="138">
        <v>1997</v>
      </c>
      <c r="B2" s="113">
        <v>200779.98251500691</v>
      </c>
      <c r="C2" s="113">
        <v>16.94118933766612</v>
      </c>
      <c r="D2" s="113"/>
      <c r="E2" s="156"/>
      <c r="F2" s="156"/>
    </row>
    <row r="3" spans="1:6">
      <c r="A3" s="138">
        <v>2002</v>
      </c>
      <c r="B3" s="113">
        <v>192398.9279546419</v>
      </c>
      <c r="C3" s="113">
        <v>16.410733019673611</v>
      </c>
      <c r="D3" s="113"/>
      <c r="E3" s="156"/>
      <c r="F3" s="156"/>
    </row>
    <row r="4" spans="1:6">
      <c r="A4" s="138">
        <v>2006</v>
      </c>
      <c r="B4" s="113">
        <v>175067.62773095249</v>
      </c>
      <c r="C4" s="113">
        <v>17.975680301714629</v>
      </c>
      <c r="D4" s="113"/>
      <c r="E4" s="156"/>
      <c r="F4" s="156"/>
    </row>
    <row r="5" spans="1:6">
      <c r="A5" s="138">
        <v>2012</v>
      </c>
      <c r="B5" s="113">
        <v>164675.03339573849</v>
      </c>
      <c r="C5" s="113">
        <v>19.527098326035169</v>
      </c>
      <c r="D5" s="113"/>
      <c r="E5" s="156"/>
      <c r="F5" s="156"/>
    </row>
    <row r="6" spans="1:6">
      <c r="A6" s="138">
        <v>2018</v>
      </c>
      <c r="B6" s="113">
        <v>157441.80090388621</v>
      </c>
      <c r="C6" s="113">
        <v>19.80203810069435</v>
      </c>
      <c r="D6" s="113"/>
      <c r="E6" s="156"/>
      <c r="F6" s="156"/>
    </row>
    <row r="7" spans="1:6">
      <c r="A7" s="138"/>
      <c r="B7" s="157"/>
      <c r="C7" s="156"/>
      <c r="D7" s="156"/>
      <c r="E7" s="156"/>
      <c r="F7" s="156"/>
    </row>
    <row r="8" spans="1:6">
      <c r="A8" s="138"/>
      <c r="B8" s="143"/>
      <c r="C8" s="156"/>
      <c r="D8" s="156"/>
      <c r="E8" s="156"/>
      <c r="F8" s="156"/>
    </row>
    <row r="9" spans="1:6">
      <c r="A9" s="138"/>
      <c r="B9" s="157"/>
      <c r="C9" s="156"/>
      <c r="D9" s="156"/>
      <c r="E9" s="156"/>
      <c r="F9" s="156"/>
    </row>
    <row r="10" spans="1:6">
      <c r="A10" s="138"/>
      <c r="B10" s="143"/>
      <c r="C10" s="156"/>
      <c r="D10" s="156"/>
      <c r="E10" s="156"/>
      <c r="F10" s="156"/>
    </row>
    <row r="11" spans="1:6">
      <c r="A11" s="138"/>
      <c r="B11" s="157"/>
      <c r="C11" s="156"/>
      <c r="D11" s="156"/>
      <c r="E11" s="156"/>
      <c r="F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FE80-A849-41D5-8CDF-3D9010D20B48}">
  <dimension ref="A1:L20"/>
  <sheetViews>
    <sheetView workbookViewId="0"/>
  </sheetViews>
  <sheetFormatPr defaultRowHeight="12.75"/>
  <cols>
    <col min="1" max="1" width="17.42578125" bestFit="1" customWidth="1"/>
    <col min="2" max="2" width="12" bestFit="1" customWidth="1"/>
  </cols>
  <sheetData>
    <row r="1" spans="1:12" ht="38.25">
      <c r="A1" s="136" t="s">
        <v>171</v>
      </c>
      <c r="B1" s="136" t="s">
        <v>172</v>
      </c>
      <c r="C1" s="164"/>
      <c r="D1" s="166"/>
      <c r="E1" s="166"/>
      <c r="F1" s="166"/>
      <c r="G1" s="166"/>
      <c r="H1" s="166"/>
      <c r="I1" s="166"/>
      <c r="J1" s="166"/>
      <c r="K1" s="166"/>
      <c r="L1" s="166"/>
    </row>
    <row r="2" spans="1:12">
      <c r="A2" t="s">
        <v>173</v>
      </c>
      <c r="B2" s="153">
        <v>139843.97498191721</v>
      </c>
      <c r="D2" s="166"/>
      <c r="E2" s="166"/>
      <c r="F2" s="166"/>
      <c r="G2" s="166"/>
      <c r="H2" s="166"/>
      <c r="I2" s="166"/>
      <c r="J2" s="166"/>
      <c r="K2" s="166"/>
      <c r="L2" s="166"/>
    </row>
    <row r="3" spans="1:12">
      <c r="A3" t="s">
        <v>174</v>
      </c>
      <c r="B3" s="153">
        <v>141751.91725096921</v>
      </c>
      <c r="D3" s="166"/>
      <c r="E3" s="166"/>
      <c r="F3" s="166"/>
      <c r="G3" s="166"/>
      <c r="H3" s="166"/>
      <c r="I3" s="166"/>
      <c r="J3" s="166"/>
      <c r="K3" s="166"/>
      <c r="L3" s="166"/>
    </row>
    <row r="4" spans="1:12">
      <c r="A4" t="s">
        <v>175</v>
      </c>
      <c r="B4" s="153">
        <v>143875.3698489989</v>
      </c>
      <c r="D4" s="166"/>
      <c r="E4" s="166"/>
      <c r="F4" s="166"/>
      <c r="G4" s="166"/>
      <c r="H4" s="166"/>
      <c r="I4" s="166"/>
      <c r="J4" s="166"/>
      <c r="K4" s="166"/>
      <c r="L4" s="166"/>
    </row>
    <row r="5" spans="1:12">
      <c r="A5" t="s">
        <v>176</v>
      </c>
      <c r="B5" s="153">
        <v>148829.09617751569</v>
      </c>
      <c r="D5" s="166"/>
      <c r="E5" s="166"/>
      <c r="F5" s="166"/>
      <c r="G5" s="166"/>
      <c r="H5" s="166"/>
      <c r="I5" s="166"/>
      <c r="J5" s="166"/>
      <c r="K5" s="166"/>
      <c r="L5" s="166"/>
    </row>
    <row r="6" spans="1:12">
      <c r="A6" t="s">
        <v>177</v>
      </c>
      <c r="B6" s="153">
        <v>152642.28375529879</v>
      </c>
      <c r="D6" s="166"/>
      <c r="E6" s="166"/>
      <c r="F6" s="166"/>
      <c r="G6" s="166"/>
      <c r="H6" s="166"/>
      <c r="I6" s="166"/>
      <c r="J6" s="166"/>
      <c r="K6" s="166"/>
      <c r="L6" s="166"/>
    </row>
    <row r="7" spans="1:12">
      <c r="A7" t="s">
        <v>178</v>
      </c>
      <c r="B7" s="153">
        <v>153184.1576203224</v>
      </c>
      <c r="D7" s="166"/>
      <c r="E7" s="166"/>
      <c r="F7" s="166"/>
      <c r="G7" s="166"/>
      <c r="H7" s="166"/>
      <c r="I7" s="166"/>
      <c r="J7" s="166"/>
      <c r="K7" s="166"/>
      <c r="L7" s="166"/>
    </row>
    <row r="8" spans="1:12">
      <c r="A8" t="s">
        <v>179</v>
      </c>
      <c r="B8" s="153">
        <v>155330.70206326991</v>
      </c>
      <c r="D8" s="166"/>
      <c r="E8" s="166"/>
      <c r="F8" s="166"/>
      <c r="G8" s="166"/>
      <c r="H8" s="166"/>
      <c r="I8" s="166"/>
      <c r="J8" s="166"/>
      <c r="K8" s="166"/>
      <c r="L8" s="166"/>
    </row>
    <row r="9" spans="1:12">
      <c r="A9" t="s">
        <v>180</v>
      </c>
      <c r="B9" s="153">
        <v>156108.25382472339</v>
      </c>
      <c r="D9" s="166"/>
      <c r="E9" s="166"/>
      <c r="F9" s="166"/>
      <c r="G9" s="166"/>
      <c r="H9" s="166"/>
      <c r="I9" s="166"/>
      <c r="J9" s="166"/>
      <c r="K9" s="166"/>
      <c r="L9" s="166"/>
    </row>
    <row r="10" spans="1:12">
      <c r="A10" t="s">
        <v>181</v>
      </c>
      <c r="B10" s="153">
        <v>156504.6165082494</v>
      </c>
      <c r="D10" s="166"/>
      <c r="E10" s="166"/>
      <c r="F10" s="166"/>
      <c r="G10" s="166"/>
      <c r="H10" s="166"/>
      <c r="I10" s="166"/>
      <c r="J10" s="166"/>
      <c r="K10" s="166"/>
      <c r="L10" s="166"/>
    </row>
    <row r="11" spans="1:12">
      <c r="A11" t="s">
        <v>182</v>
      </c>
      <c r="B11" s="153">
        <v>157801.56473016809</v>
      </c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2">
      <c r="A12" t="s">
        <v>183</v>
      </c>
      <c r="B12" s="153">
        <v>158018.68988784961</v>
      </c>
      <c r="D12" s="166"/>
      <c r="E12" s="166"/>
      <c r="F12" s="166"/>
      <c r="G12" s="166"/>
      <c r="H12" s="166"/>
      <c r="I12" s="166"/>
      <c r="J12" s="166"/>
      <c r="K12" s="166"/>
      <c r="L12" s="166"/>
    </row>
    <row r="13" spans="1:12">
      <c r="A13" t="s">
        <v>184</v>
      </c>
      <c r="B13" s="153">
        <v>158093.64956209101</v>
      </c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2">
      <c r="A14" t="s">
        <v>185</v>
      </c>
      <c r="B14" s="153">
        <v>158397.0150506302</v>
      </c>
      <c r="D14" s="166"/>
      <c r="E14" s="166"/>
      <c r="F14" s="166"/>
      <c r="G14" s="166"/>
      <c r="H14" s="166"/>
      <c r="I14" s="166"/>
      <c r="J14" s="166"/>
      <c r="K14" s="166"/>
      <c r="L14" s="166"/>
    </row>
    <row r="15" spans="1:12">
      <c r="A15" t="s">
        <v>186</v>
      </c>
      <c r="B15" s="153">
        <v>158400.7309440572</v>
      </c>
      <c r="D15" s="166"/>
      <c r="E15" s="166"/>
      <c r="F15" s="166"/>
      <c r="G15" s="166"/>
      <c r="H15" s="166"/>
      <c r="I15" s="166"/>
      <c r="J15" s="166"/>
      <c r="K15" s="166"/>
      <c r="L15" s="166"/>
    </row>
    <row r="16" spans="1:12">
      <c r="A16" t="s">
        <v>187</v>
      </c>
      <c r="B16" s="153">
        <v>160881.22438815521</v>
      </c>
      <c r="D16" s="166"/>
      <c r="E16" s="166"/>
      <c r="F16" s="166"/>
      <c r="G16" s="166"/>
      <c r="H16" s="166"/>
      <c r="I16" s="166"/>
      <c r="J16" s="166"/>
      <c r="K16" s="166"/>
      <c r="L16" s="166"/>
    </row>
    <row r="17" spans="1:12">
      <c r="A17" t="s">
        <v>188</v>
      </c>
      <c r="B17" s="153">
        <v>162121.31566948621</v>
      </c>
      <c r="D17" s="166"/>
      <c r="E17" s="166"/>
      <c r="F17" s="166"/>
      <c r="G17" s="166"/>
      <c r="H17" s="166"/>
      <c r="I17" s="166"/>
      <c r="J17" s="166"/>
      <c r="K17" s="166"/>
      <c r="L17" s="166"/>
    </row>
    <row r="18" spans="1:12">
      <c r="A18" t="s">
        <v>189</v>
      </c>
      <c r="B18" s="153">
        <v>162979.01546308491</v>
      </c>
      <c r="D18" s="166"/>
      <c r="E18" s="166"/>
      <c r="F18" s="166"/>
      <c r="G18" s="166"/>
      <c r="H18" s="166"/>
      <c r="I18" s="166"/>
      <c r="J18" s="166"/>
      <c r="K18" s="166"/>
      <c r="L18" s="166"/>
    </row>
    <row r="19" spans="1:12">
      <c r="A19" t="s">
        <v>190</v>
      </c>
      <c r="B19" s="153">
        <v>164639.67560263289</v>
      </c>
    </row>
    <row r="20" spans="1:12">
      <c r="A20" t="s">
        <v>191</v>
      </c>
      <c r="B20" s="153">
        <v>175694.21321875101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2A0D-E5AD-4012-B2E7-93859235BA8E}">
  <dimension ref="A1:H3"/>
  <sheetViews>
    <sheetView workbookViewId="0"/>
  </sheetViews>
  <sheetFormatPr defaultRowHeight="12.75"/>
  <cols>
    <col min="1" max="1" width="18.140625" customWidth="1"/>
    <col min="2" max="2" width="21.42578125" bestFit="1" customWidth="1"/>
    <col min="3" max="3" width="31" bestFit="1" customWidth="1"/>
    <col min="7" max="7" width="18.5703125" bestFit="1" customWidth="1"/>
    <col min="8" max="8" width="27.28515625" bestFit="1" customWidth="1"/>
  </cols>
  <sheetData>
    <row r="1" spans="1:8">
      <c r="A1" s="169" t="s">
        <v>168</v>
      </c>
      <c r="B1" s="169" t="s">
        <v>192</v>
      </c>
      <c r="C1" s="169" t="s">
        <v>193</v>
      </c>
      <c r="D1" s="86"/>
      <c r="E1" s="86"/>
      <c r="F1" s="169" t="s">
        <v>168</v>
      </c>
      <c r="G1" s="169" t="s">
        <v>192</v>
      </c>
      <c r="H1" s="169" t="s">
        <v>193</v>
      </c>
    </row>
    <row r="2" spans="1:8">
      <c r="A2" s="86">
        <v>1997</v>
      </c>
      <c r="B2" s="167">
        <f>(100-C2)</f>
        <v>51.441525343430698</v>
      </c>
      <c r="C2" s="167">
        <v>48.558474656569302</v>
      </c>
      <c r="D2" s="86"/>
      <c r="E2" s="86"/>
      <c r="F2" s="86">
        <v>1997</v>
      </c>
      <c r="G2" s="170">
        <v>226212.454941951</v>
      </c>
      <c r="H2" s="170">
        <v>173837.51399329971</v>
      </c>
    </row>
    <row r="3" spans="1:8">
      <c r="A3" s="86">
        <v>2018</v>
      </c>
      <c r="B3" s="167">
        <f t="shared" ref="B3" si="0">(100-C3)</f>
        <v>26.309851904177094</v>
      </c>
      <c r="C3" s="167">
        <v>73.690148095822906</v>
      </c>
      <c r="D3" s="86"/>
      <c r="E3" s="86"/>
      <c r="F3" s="86">
        <v>2018</v>
      </c>
      <c r="G3" s="170">
        <v>167760.194348889</v>
      </c>
      <c r="H3" s="170">
        <v>153757.78871986869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0967-293E-4BDD-A2B6-7CB58346D4A7}">
  <dimension ref="A1:B28"/>
  <sheetViews>
    <sheetView workbookViewId="0"/>
  </sheetViews>
  <sheetFormatPr defaultRowHeight="14.25"/>
  <cols>
    <col min="1" max="1" width="9.140625" style="15"/>
    <col min="2" max="2" width="11.140625" style="15" bestFit="1" customWidth="1"/>
  </cols>
  <sheetData>
    <row r="1" spans="1:2" ht="12.75">
      <c r="A1" s="169" t="s">
        <v>168</v>
      </c>
      <c r="B1" s="169" t="s">
        <v>194</v>
      </c>
    </row>
    <row r="2" spans="1:2" ht="12.75">
      <c r="A2" s="167">
        <v>1997</v>
      </c>
      <c r="B2" s="168">
        <v>19.72</v>
      </c>
    </row>
    <row r="3" spans="1:2" ht="12.75">
      <c r="A3" s="167">
        <v>1998</v>
      </c>
      <c r="B3" s="168">
        <v>20.46</v>
      </c>
    </row>
    <row r="4" spans="1:2" ht="12.75">
      <c r="A4" s="167">
        <v>1999</v>
      </c>
      <c r="B4" s="168">
        <v>19.25</v>
      </c>
    </row>
    <row r="5" spans="1:2" ht="12.75">
      <c r="A5" s="167">
        <v>2000</v>
      </c>
      <c r="B5" s="168">
        <v>19.18</v>
      </c>
    </row>
    <row r="6" spans="1:2" ht="12.75">
      <c r="A6" s="167">
        <v>2001</v>
      </c>
      <c r="B6" s="168">
        <v>22.59</v>
      </c>
    </row>
    <row r="7" spans="1:2" ht="12.75">
      <c r="A7" s="167">
        <v>2002</v>
      </c>
      <c r="B7" s="168">
        <v>25.45</v>
      </c>
    </row>
    <row r="8" spans="1:2" ht="12.75">
      <c r="A8" s="167">
        <v>2003</v>
      </c>
      <c r="B8" s="168">
        <v>27.42</v>
      </c>
    </row>
    <row r="9" spans="1:2" ht="12.75">
      <c r="A9" s="167">
        <v>2004</v>
      </c>
      <c r="B9" s="168">
        <v>29.71</v>
      </c>
    </row>
    <row r="10" spans="1:2" ht="12.75">
      <c r="A10" s="167">
        <v>2005</v>
      </c>
      <c r="B10" s="168">
        <v>32.619999999999997</v>
      </c>
    </row>
    <row r="11" spans="1:2" ht="12.75">
      <c r="A11" s="167">
        <v>2006</v>
      </c>
      <c r="B11" s="168">
        <v>32.299999999999997</v>
      </c>
    </row>
    <row r="12" spans="1:2" ht="12.75">
      <c r="A12" s="167">
        <v>2007</v>
      </c>
      <c r="B12" s="168">
        <v>39.770000000000003</v>
      </c>
    </row>
    <row r="13" spans="1:2" ht="12.75">
      <c r="A13" s="167">
        <v>2008</v>
      </c>
      <c r="B13" s="168">
        <v>44.35</v>
      </c>
    </row>
    <row r="14" spans="1:2" ht="12.75">
      <c r="A14" s="167">
        <v>2009</v>
      </c>
      <c r="B14" s="168">
        <v>55.26</v>
      </c>
    </row>
    <row r="15" spans="1:2" ht="12.75">
      <c r="A15" s="167">
        <v>2010</v>
      </c>
      <c r="B15" s="168">
        <v>59.2</v>
      </c>
    </row>
    <row r="16" spans="1:2" ht="12.75">
      <c r="A16" s="167">
        <v>2011</v>
      </c>
      <c r="B16" s="168">
        <v>55.55</v>
      </c>
    </row>
    <row r="17" spans="1:2" ht="12.75">
      <c r="A17" s="167">
        <v>2012</v>
      </c>
      <c r="B17" s="168">
        <v>55.32</v>
      </c>
    </row>
    <row r="18" spans="1:2" ht="12.75">
      <c r="A18" s="167">
        <v>2013</v>
      </c>
      <c r="B18" s="168">
        <v>58.18</v>
      </c>
    </row>
    <row r="19" spans="1:2" ht="12.75">
      <c r="A19" s="167">
        <v>2014</v>
      </c>
      <c r="B19" s="168">
        <v>58.78</v>
      </c>
    </row>
    <row r="20" spans="1:2" ht="12.75">
      <c r="A20" s="167">
        <v>2015</v>
      </c>
      <c r="B20" s="168">
        <v>59.21</v>
      </c>
    </row>
    <row r="21" spans="1:2" ht="12.75">
      <c r="A21" s="167">
        <v>2016</v>
      </c>
      <c r="B21" s="168">
        <v>58.79</v>
      </c>
    </row>
    <row r="22" spans="1:2" ht="12.75">
      <c r="A22" s="167">
        <v>2017</v>
      </c>
      <c r="B22" s="168">
        <v>58.07</v>
      </c>
    </row>
    <row r="23" spans="1:2" ht="12.75">
      <c r="A23" s="167">
        <v>2018</v>
      </c>
      <c r="B23" s="168">
        <v>62.39</v>
      </c>
    </row>
    <row r="24" spans="1:2" ht="12.75">
      <c r="A24" s="167">
        <v>2019</v>
      </c>
      <c r="B24" s="168">
        <v>60.93</v>
      </c>
    </row>
    <row r="25" spans="1:2" ht="12.75">
      <c r="A25" s="167">
        <v>2020</v>
      </c>
      <c r="B25" s="168">
        <v>60.99</v>
      </c>
    </row>
    <row r="26" spans="1:2" ht="12.75">
      <c r="A26" s="167">
        <v>2021</v>
      </c>
      <c r="B26" s="168">
        <v>63.21</v>
      </c>
    </row>
    <row r="27" spans="1:2" ht="12.75">
      <c r="A27" s="167">
        <v>2022</v>
      </c>
      <c r="B27" s="168">
        <v>71.09</v>
      </c>
    </row>
    <row r="28" spans="1:2" ht="12.75">
      <c r="A28" s="167">
        <v>2023</v>
      </c>
      <c r="B28" s="168">
        <v>71.03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0843-4A3B-437D-8F89-87CF96D47ACB}">
  <dimension ref="A1:E26"/>
  <sheetViews>
    <sheetView zoomScale="120" zoomScaleNormal="120" workbookViewId="0"/>
  </sheetViews>
  <sheetFormatPr defaultRowHeight="12.75"/>
  <cols>
    <col min="1" max="1" width="14.7109375" bestFit="1" customWidth="1"/>
    <col min="2" max="2" width="28.28515625" bestFit="1" customWidth="1"/>
    <col min="3" max="3" width="30.140625" bestFit="1" customWidth="1"/>
    <col min="4" max="4" width="27.28515625" bestFit="1" customWidth="1"/>
    <col min="5" max="5" width="23.28515625" bestFit="1" customWidth="1"/>
  </cols>
  <sheetData>
    <row r="1" spans="1:5">
      <c r="A1" s="154" t="s">
        <v>153</v>
      </c>
      <c r="B1" s="154" t="s">
        <v>172</v>
      </c>
      <c r="C1" s="154" t="s">
        <v>195</v>
      </c>
      <c r="D1" s="154" t="s">
        <v>196</v>
      </c>
      <c r="E1" s="154" t="s">
        <v>197</v>
      </c>
    </row>
    <row r="2" spans="1:5">
      <c r="A2" t="s">
        <v>198</v>
      </c>
      <c r="B2" s="165" t="s">
        <v>199</v>
      </c>
      <c r="C2" s="165" t="s">
        <v>199</v>
      </c>
      <c r="D2" s="165">
        <v>74.075000000000003</v>
      </c>
      <c r="E2" s="165">
        <f>D3*C3</f>
        <v>88.05119047619047</v>
      </c>
    </row>
    <row r="3" spans="1:5">
      <c r="A3" t="s">
        <v>200</v>
      </c>
      <c r="B3" s="165">
        <v>200000</v>
      </c>
      <c r="C3" s="165">
        <f>B3*50/140000/60</f>
        <v>1.1904761904761905</v>
      </c>
      <c r="D3" s="165">
        <v>73.962999999999994</v>
      </c>
      <c r="E3" s="165">
        <f t="shared" ref="E3:E23" si="0">D4*C4</f>
        <v>85.20107142857141</v>
      </c>
    </row>
    <row r="4" spans="1:5">
      <c r="A4" t="s">
        <v>201</v>
      </c>
      <c r="B4" s="165">
        <v>195000</v>
      </c>
      <c r="C4" s="165">
        <f t="shared" ref="C4:C24" si="1">B4*50/140000/60</f>
        <v>1.1607142857142856</v>
      </c>
      <c r="D4" s="165">
        <v>73.403999999999996</v>
      </c>
      <c r="E4" s="165">
        <f t="shared" si="0"/>
        <v>85.056666666666658</v>
      </c>
    </row>
    <row r="5" spans="1:5">
      <c r="A5" t="s">
        <v>202</v>
      </c>
      <c r="B5" s="165">
        <v>190000</v>
      </c>
      <c r="C5" s="165">
        <f t="shared" si="1"/>
        <v>1.1309523809523809</v>
      </c>
      <c r="D5" s="165">
        <v>75.207999999999998</v>
      </c>
      <c r="E5" s="165">
        <f t="shared" si="0"/>
        <v>79.320952380952363</v>
      </c>
    </row>
    <row r="6" spans="1:5">
      <c r="A6" t="s">
        <v>203</v>
      </c>
      <c r="B6" s="165">
        <v>185000</v>
      </c>
      <c r="C6" s="165">
        <f t="shared" si="1"/>
        <v>1.1011904761904761</v>
      </c>
      <c r="D6" s="165">
        <v>72.031999999999996</v>
      </c>
      <c r="E6" s="165">
        <f t="shared" si="0"/>
        <v>80.916428571428597</v>
      </c>
    </row>
    <row r="7" spans="1:5">
      <c r="A7" t="s">
        <v>204</v>
      </c>
      <c r="B7" s="165">
        <v>180000</v>
      </c>
      <c r="C7" s="165">
        <f t="shared" si="1"/>
        <v>1.0714285714285716</v>
      </c>
      <c r="D7" s="165">
        <v>75.522000000000006</v>
      </c>
      <c r="E7" s="165">
        <f t="shared" si="0"/>
        <v>68.594630952380953</v>
      </c>
    </row>
    <row r="8" spans="1:5">
      <c r="A8" t="s">
        <v>205</v>
      </c>
      <c r="B8" s="165">
        <v>178000</v>
      </c>
      <c r="C8" s="165">
        <f t="shared" si="1"/>
        <v>1.0595238095238095</v>
      </c>
      <c r="D8" s="165">
        <v>64.741</v>
      </c>
      <c r="E8" s="165">
        <f t="shared" si="0"/>
        <v>79.323619047619061</v>
      </c>
    </row>
    <row r="9" spans="1:5">
      <c r="A9" t="s">
        <v>206</v>
      </c>
      <c r="B9" s="165">
        <v>176000</v>
      </c>
      <c r="C9" s="165">
        <f t="shared" si="1"/>
        <v>1.0476190476190477</v>
      </c>
      <c r="D9" s="165">
        <v>75.718000000000004</v>
      </c>
      <c r="E9" s="165">
        <f t="shared" si="0"/>
        <v>80.217107142857145</v>
      </c>
    </row>
    <row r="10" spans="1:5">
      <c r="A10" t="s">
        <v>207</v>
      </c>
      <c r="B10" s="165">
        <v>174000</v>
      </c>
      <c r="C10" s="165">
        <f t="shared" si="1"/>
        <v>1.0357142857142858</v>
      </c>
      <c r="D10" s="165">
        <v>77.450999999999993</v>
      </c>
      <c r="E10" s="165">
        <f t="shared" si="0"/>
        <v>79.246952380952393</v>
      </c>
    </row>
    <row r="11" spans="1:5">
      <c r="A11" t="s">
        <v>108</v>
      </c>
      <c r="B11" s="165">
        <v>172000</v>
      </c>
      <c r="C11" s="165">
        <f t="shared" si="1"/>
        <v>1.0238095238095239</v>
      </c>
      <c r="D11" s="165">
        <v>77.403999999999996</v>
      </c>
      <c r="E11" s="165">
        <f t="shared" si="0"/>
        <v>75.939404761904768</v>
      </c>
    </row>
    <row r="12" spans="1:5">
      <c r="A12" t="s">
        <v>109</v>
      </c>
      <c r="B12" s="165">
        <v>170000</v>
      </c>
      <c r="C12" s="165">
        <f t="shared" si="1"/>
        <v>1.0119047619047619</v>
      </c>
      <c r="D12" s="165">
        <v>75.046000000000006</v>
      </c>
      <c r="E12" s="165">
        <f t="shared" si="0"/>
        <v>78.117023809523801</v>
      </c>
    </row>
    <row r="13" spans="1:5">
      <c r="A13" t="s">
        <v>110</v>
      </c>
      <c r="B13" s="165">
        <v>170000</v>
      </c>
      <c r="C13" s="165">
        <f t="shared" si="1"/>
        <v>1.0119047619047619</v>
      </c>
      <c r="D13" s="165">
        <v>77.197999999999993</v>
      </c>
      <c r="E13" s="165">
        <f t="shared" si="0"/>
        <v>76.819999999999993</v>
      </c>
    </row>
    <row r="14" spans="1:5">
      <c r="A14" t="s">
        <v>111</v>
      </c>
      <c r="B14" s="165">
        <v>168000</v>
      </c>
      <c r="C14" s="165">
        <f t="shared" si="1"/>
        <v>1</v>
      </c>
      <c r="D14" s="165">
        <v>76.819999999999993</v>
      </c>
      <c r="E14" s="165">
        <f t="shared" si="0"/>
        <v>82.304380952380953</v>
      </c>
    </row>
    <row r="15" spans="1:5">
      <c r="A15" t="s">
        <v>112</v>
      </c>
      <c r="B15" s="165">
        <v>166000</v>
      </c>
      <c r="C15" s="165">
        <f t="shared" si="1"/>
        <v>0.98809523809523803</v>
      </c>
      <c r="D15" s="165">
        <v>83.296000000000006</v>
      </c>
      <c r="E15" s="165">
        <f t="shared" si="0"/>
        <v>80.691904761904752</v>
      </c>
    </row>
    <row r="16" spans="1:5">
      <c r="A16" t="s">
        <v>113</v>
      </c>
      <c r="B16" s="165">
        <v>164000</v>
      </c>
      <c r="C16" s="165">
        <f t="shared" si="1"/>
        <v>0.97619047619047616</v>
      </c>
      <c r="D16" s="165">
        <v>82.66</v>
      </c>
      <c r="E16" s="165">
        <f t="shared" si="0"/>
        <v>80.472535714285712</v>
      </c>
    </row>
    <row r="17" spans="1:5">
      <c r="A17" t="s">
        <v>114</v>
      </c>
      <c r="B17" s="165">
        <v>162000</v>
      </c>
      <c r="C17" s="165">
        <f t="shared" si="1"/>
        <v>0.96428571428571419</v>
      </c>
      <c r="D17" s="165">
        <v>83.453000000000003</v>
      </c>
      <c r="E17" s="165">
        <f t="shared" si="0"/>
        <v>85.868571428571443</v>
      </c>
    </row>
    <row r="18" spans="1:5">
      <c r="A18" t="s">
        <v>115</v>
      </c>
      <c r="B18" s="165">
        <v>160000</v>
      </c>
      <c r="C18" s="165">
        <f t="shared" si="1"/>
        <v>0.95238095238095244</v>
      </c>
      <c r="D18" s="165">
        <v>90.162000000000006</v>
      </c>
      <c r="E18" s="165">
        <f t="shared" si="0"/>
        <v>84.920952380952386</v>
      </c>
    </row>
    <row r="19" spans="1:5">
      <c r="A19" t="s">
        <v>116</v>
      </c>
      <c r="B19" s="165">
        <v>160000</v>
      </c>
      <c r="C19" s="165">
        <f>B19*50/140000/60</f>
        <v>0.95238095238095244</v>
      </c>
      <c r="D19" s="165">
        <v>89.167000000000002</v>
      </c>
      <c r="E19" s="165">
        <f t="shared" si="0"/>
        <v>71.117261904761904</v>
      </c>
    </row>
    <row r="20" spans="1:5">
      <c r="A20" t="s">
        <v>117</v>
      </c>
      <c r="B20" s="165">
        <v>157000</v>
      </c>
      <c r="C20" s="165">
        <f t="shared" si="1"/>
        <v>0.93452380952380953</v>
      </c>
      <c r="D20" s="165">
        <v>76.099999999999994</v>
      </c>
      <c r="E20" s="165">
        <f t="shared" si="0"/>
        <v>77.400142857142853</v>
      </c>
    </row>
    <row r="21" spans="1:5">
      <c r="A21" t="s">
        <v>118</v>
      </c>
      <c r="B21" s="165">
        <v>156000</v>
      </c>
      <c r="C21" s="165">
        <f t="shared" si="1"/>
        <v>0.9285714285714286</v>
      </c>
      <c r="D21" s="165">
        <v>83.353999999999999</v>
      </c>
      <c r="E21" s="165">
        <f t="shared" si="0"/>
        <v>79.928749999999994</v>
      </c>
    </row>
    <row r="22" spans="1:5">
      <c r="A22" t="s">
        <v>34</v>
      </c>
      <c r="B22" s="165">
        <v>154000</v>
      </c>
      <c r="C22" s="165">
        <f t="shared" si="1"/>
        <v>0.91666666666666663</v>
      </c>
      <c r="D22" s="165">
        <v>87.194999999999993</v>
      </c>
      <c r="E22" s="165">
        <f t="shared" si="0"/>
        <v>79.121428571428581</v>
      </c>
    </row>
    <row r="23" spans="1:5">
      <c r="A23" t="s">
        <v>37</v>
      </c>
      <c r="B23" s="165">
        <v>152000</v>
      </c>
      <c r="C23" s="165">
        <f t="shared" si="1"/>
        <v>0.90476190476190477</v>
      </c>
      <c r="D23" s="165">
        <v>87.45</v>
      </c>
      <c r="E23" s="165">
        <f t="shared" si="0"/>
        <v>74.642857142857139</v>
      </c>
    </row>
    <row r="24" spans="1:5">
      <c r="A24" t="s">
        <v>54</v>
      </c>
      <c r="B24" s="165">
        <v>150000</v>
      </c>
      <c r="C24" s="165">
        <f t="shared" si="1"/>
        <v>0.89285714285714279</v>
      </c>
      <c r="D24" s="165">
        <v>83.6</v>
      </c>
      <c r="E24" s="165">
        <f>D25*C25</f>
        <v>77.241071428571431</v>
      </c>
    </row>
    <row r="25" spans="1:5">
      <c r="A25" t="s">
        <v>156</v>
      </c>
      <c r="B25" s="165">
        <v>150000</v>
      </c>
      <c r="C25" s="165">
        <f>B25*50/140000/60</f>
        <v>0.89285714285714279</v>
      </c>
      <c r="D25" s="165">
        <v>86.51</v>
      </c>
      <c r="E25" s="165">
        <v>78</v>
      </c>
    </row>
    <row r="26" spans="1:5">
      <c r="B26" s="165"/>
      <c r="C26" s="165"/>
      <c r="D26" s="165"/>
      <c r="E26" s="16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8310-76AE-40E7-8776-F703AA34CF22}">
  <dimension ref="A1:E25"/>
  <sheetViews>
    <sheetView workbookViewId="0"/>
  </sheetViews>
  <sheetFormatPr defaultRowHeight="12.75"/>
  <cols>
    <col min="1" max="1" width="14.7109375" bestFit="1" customWidth="1"/>
    <col min="2" max="2" width="13.7109375" bestFit="1" customWidth="1"/>
    <col min="3" max="3" width="12.7109375" bestFit="1" customWidth="1"/>
    <col min="4" max="4" width="12.85546875" bestFit="1" customWidth="1"/>
    <col min="5" max="5" width="12.7109375" bestFit="1" customWidth="1"/>
  </cols>
  <sheetData>
    <row r="1" spans="1:5">
      <c r="A1" s="154" t="s">
        <v>153</v>
      </c>
      <c r="B1" s="154" t="s">
        <v>208</v>
      </c>
      <c r="C1" s="154" t="s">
        <v>209</v>
      </c>
      <c r="D1" s="154" t="s">
        <v>210</v>
      </c>
      <c r="E1" s="154" t="s">
        <v>211</v>
      </c>
    </row>
    <row r="2" spans="1:5">
      <c r="A2" t="s">
        <v>198</v>
      </c>
      <c r="B2" s="165">
        <f>'Figure SA-5'!E2</f>
        <v>88.05119047619047</v>
      </c>
      <c r="C2" s="165">
        <v>87.524638692532463</v>
      </c>
      <c r="D2" s="165">
        <f>E2+C2-B2</f>
        <v>81.241507391446532</v>
      </c>
      <c r="E2" s="165">
        <v>81.768059175104554</v>
      </c>
    </row>
    <row r="3" spans="1:5">
      <c r="A3" t="s">
        <v>200</v>
      </c>
      <c r="B3" s="165">
        <f>'Figure SA-5'!E3</f>
        <v>85.20107142857141</v>
      </c>
      <c r="C3" s="165">
        <v>87.002987601261182</v>
      </c>
      <c r="D3" s="165">
        <f t="shared" ref="D3:D23" si="0">E3+C3-B3</f>
        <v>46.173514103596531</v>
      </c>
      <c r="E3" s="165">
        <v>44.371597930906773</v>
      </c>
    </row>
    <row r="4" spans="1:5">
      <c r="A4" t="s">
        <v>201</v>
      </c>
      <c r="B4" s="165">
        <f>'Figure SA-5'!E4</f>
        <v>85.056666666666658</v>
      </c>
      <c r="C4" s="165">
        <v>89.266510768098698</v>
      </c>
      <c r="D4" s="165">
        <f t="shared" si="0"/>
        <v>24.011077132020191</v>
      </c>
      <c r="E4" s="165">
        <v>19.801233030588151</v>
      </c>
    </row>
    <row r="5" spans="1:5">
      <c r="A5" t="s">
        <v>202</v>
      </c>
      <c r="B5" s="165">
        <f>'Figure SA-5'!E5</f>
        <v>79.320952380952363</v>
      </c>
      <c r="C5" s="165">
        <v>85.776325842657982</v>
      </c>
      <c r="D5" s="165">
        <f t="shared" si="0"/>
        <v>113.4827058799048</v>
      </c>
      <c r="E5" s="165">
        <v>107.02733241819919</v>
      </c>
    </row>
    <row r="6" spans="1:5">
      <c r="A6" t="s">
        <v>203</v>
      </c>
      <c r="B6" s="165">
        <f>'Figure SA-5'!E6</f>
        <v>80.916428571428597</v>
      </c>
      <c r="C6" s="165">
        <v>88.743054340064958</v>
      </c>
      <c r="D6" s="165">
        <f t="shared" si="0"/>
        <v>118.47726777143392</v>
      </c>
      <c r="E6" s="165">
        <v>110.65064200279755</v>
      </c>
    </row>
    <row r="7" spans="1:5">
      <c r="A7" t="s">
        <v>204</v>
      </c>
      <c r="B7" s="165">
        <f>'Figure SA-5'!E7</f>
        <v>68.594630952380953</v>
      </c>
      <c r="C7" s="165">
        <v>75.91299231171493</v>
      </c>
      <c r="D7" s="165">
        <f t="shared" si="0"/>
        <v>88.48160659080034</v>
      </c>
      <c r="E7" s="165">
        <v>81.163245231466362</v>
      </c>
    </row>
    <row r="8" spans="1:5">
      <c r="A8" t="s">
        <v>205</v>
      </c>
      <c r="B8" s="165">
        <f>'Figure SA-5'!E8</f>
        <v>79.323619047619061</v>
      </c>
      <c r="C8" s="165">
        <v>88.722640633786668</v>
      </c>
      <c r="D8" s="165">
        <f t="shared" si="0"/>
        <v>14.203537652307347</v>
      </c>
      <c r="E8" s="165">
        <v>4.8045160661397404</v>
      </c>
    </row>
    <row r="9" spans="1:5">
      <c r="A9" t="s">
        <v>206</v>
      </c>
      <c r="B9" s="165">
        <f>'Figure SA-5'!E9</f>
        <v>80.217107142857145</v>
      </c>
      <c r="C9" s="165">
        <v>89.998634236713684</v>
      </c>
      <c r="D9" s="165">
        <f t="shared" si="0"/>
        <v>25.681050401862194</v>
      </c>
      <c r="E9" s="165">
        <v>15.899523308005655</v>
      </c>
    </row>
    <row r="10" spans="1:5">
      <c r="A10" t="s">
        <v>207</v>
      </c>
      <c r="B10" s="165">
        <f>'Figure SA-5'!E10</f>
        <v>79.246952380952393</v>
      </c>
      <c r="C10" s="165">
        <v>89.862474866087737</v>
      </c>
      <c r="D10" s="165">
        <f t="shared" si="0"/>
        <v>32.850243999535351</v>
      </c>
      <c r="E10" s="165">
        <v>22.234721514400007</v>
      </c>
    </row>
    <row r="11" spans="1:5">
      <c r="A11" t="s">
        <v>108</v>
      </c>
      <c r="B11" s="165">
        <f>'Figure SA-5'!E11</f>
        <v>75.939404761904768</v>
      </c>
      <c r="C11" s="165">
        <v>87.13188753223092</v>
      </c>
      <c r="D11" s="165">
        <f t="shared" si="0"/>
        <v>52.70963322527507</v>
      </c>
      <c r="E11" s="165">
        <v>41.517150454948933</v>
      </c>
    </row>
    <row r="12" spans="1:5">
      <c r="A12" t="s">
        <v>109</v>
      </c>
      <c r="B12" s="165">
        <f>'Figure SA-5'!E12</f>
        <v>78.117023809523801</v>
      </c>
      <c r="C12" s="165">
        <v>89.630459367763251</v>
      </c>
      <c r="D12" s="165">
        <f t="shared" si="0"/>
        <v>11.501897407621016</v>
      </c>
      <c r="E12" s="165">
        <v>-1.1538150618434884E-2</v>
      </c>
    </row>
    <row r="13" spans="1:5">
      <c r="A13" t="s">
        <v>110</v>
      </c>
      <c r="B13" s="165">
        <f>'Figure SA-5'!E13</f>
        <v>76.819999999999993</v>
      </c>
      <c r="C13" s="165">
        <v>89.191583831596319</v>
      </c>
      <c r="D13" s="165">
        <f t="shared" si="0"/>
        <v>18.026966790852583</v>
      </c>
      <c r="E13" s="165">
        <v>5.6553829592562579</v>
      </c>
    </row>
    <row r="14" spans="1:5">
      <c r="A14" t="s">
        <v>111</v>
      </c>
      <c r="B14" s="165">
        <f>'Figure SA-5'!E14</f>
        <v>82.304380952380953</v>
      </c>
      <c r="C14" s="165">
        <v>96.710520266032916</v>
      </c>
      <c r="D14" s="165">
        <f t="shared" si="0"/>
        <v>22.483283759741013</v>
      </c>
      <c r="E14" s="165">
        <v>8.0771444460890507</v>
      </c>
    </row>
    <row r="15" spans="1:5">
      <c r="A15" t="s">
        <v>112</v>
      </c>
      <c r="B15" s="165">
        <f>'Figure SA-5'!E15</f>
        <v>80.691904761904752</v>
      </c>
      <c r="C15" s="165">
        <v>95.972094760736169</v>
      </c>
      <c r="D15" s="165">
        <f t="shared" si="0"/>
        <v>66.808551577243136</v>
      </c>
      <c r="E15" s="165">
        <v>51.528361578411705</v>
      </c>
    </row>
    <row r="16" spans="1:5">
      <c r="A16" t="s">
        <v>113</v>
      </c>
      <c r="B16" s="165">
        <f>'Figure SA-5'!E16</f>
        <v>80.472535714285712</v>
      </c>
      <c r="C16" s="165">
        <v>96.892804549573142</v>
      </c>
      <c r="D16" s="165">
        <f t="shared" si="0"/>
        <v>34.885162213823293</v>
      </c>
      <c r="E16" s="165">
        <v>18.464893378535862</v>
      </c>
    </row>
    <row r="17" spans="1:5">
      <c r="A17" t="s">
        <v>114</v>
      </c>
      <c r="B17" s="165">
        <f>'Figure SA-5'!E17</f>
        <v>85.868571428571443</v>
      </c>
      <c r="C17" s="165">
        <v>104.68226479334012</v>
      </c>
      <c r="D17" s="165">
        <f t="shared" si="0"/>
        <v>60.292961947538373</v>
      </c>
      <c r="E17" s="165">
        <v>41.479268582769691</v>
      </c>
    </row>
    <row r="18" spans="1:5">
      <c r="A18" t="s">
        <v>115</v>
      </c>
      <c r="B18" s="165">
        <f>'Figure SA-5'!E18</f>
        <v>84.920952380952386</v>
      </c>
      <c r="C18" s="165">
        <v>103.52702363332401</v>
      </c>
      <c r="D18" s="165">
        <f t="shared" si="0"/>
        <v>23.3496703061072</v>
      </c>
      <c r="E18" s="165">
        <v>4.7435990537355792</v>
      </c>
    </row>
    <row r="19" spans="1:5">
      <c r="A19" t="s">
        <v>116</v>
      </c>
      <c r="B19" s="165">
        <f>'Figure SA-5'!E19</f>
        <v>71.117261904761904</v>
      </c>
      <c r="C19" s="165">
        <v>88.355630429373605</v>
      </c>
      <c r="D19" s="165">
        <f t="shared" si="0"/>
        <v>38.722740229133365</v>
      </c>
      <c r="E19" s="165">
        <v>21.484371704521664</v>
      </c>
    </row>
    <row r="20" spans="1:5">
      <c r="A20" t="s">
        <v>117</v>
      </c>
      <c r="B20" s="165">
        <f>'Figure SA-5'!E20</f>
        <v>77.400142857142853</v>
      </c>
      <c r="C20" s="165">
        <v>96.777860956767512</v>
      </c>
      <c r="D20" s="165">
        <f t="shared" si="0"/>
        <v>28.132130359434328</v>
      </c>
      <c r="E20" s="165">
        <v>8.7544122598096692</v>
      </c>
    </row>
    <row r="21" spans="1:5">
      <c r="A21" t="s">
        <v>118</v>
      </c>
      <c r="B21" s="165">
        <f>'Figure SA-5'!E21</f>
        <v>79.928749999999994</v>
      </c>
      <c r="C21" s="165">
        <v>101.23744014834732</v>
      </c>
      <c r="D21" s="165">
        <f t="shared" si="0"/>
        <v>31.403818549563567</v>
      </c>
      <c r="E21" s="165">
        <v>10.095128401216243</v>
      </c>
    </row>
    <row r="22" spans="1:5">
      <c r="A22" t="s">
        <v>34</v>
      </c>
      <c r="B22" s="165">
        <f>'Figure SA-5'!E22</f>
        <v>79.121428571428581</v>
      </c>
      <c r="C22" s="165">
        <v>101.53350697830122</v>
      </c>
      <c r="D22" s="165">
        <f t="shared" si="0"/>
        <v>27.884514025460589</v>
      </c>
      <c r="E22" s="165">
        <v>5.4724356185879515</v>
      </c>
    </row>
    <row r="23" spans="1:5">
      <c r="A23" t="s">
        <v>37</v>
      </c>
      <c r="B23" s="165">
        <f>'Figure SA-5'!E23</f>
        <v>74.642857142857139</v>
      </c>
      <c r="C23" s="165">
        <v>97.063478369193604</v>
      </c>
      <c r="D23" s="165">
        <f t="shared" si="0"/>
        <v>26.706153039854229</v>
      </c>
      <c r="E23" s="165">
        <v>4.285531813517764</v>
      </c>
    </row>
    <row r="24" spans="1:5">
      <c r="A24" t="s">
        <v>54</v>
      </c>
      <c r="B24" s="165">
        <f>'Figure SA-5'!E24</f>
        <v>77.241071428571431</v>
      </c>
      <c r="C24" s="165">
        <v>100.44212336984377</v>
      </c>
      <c r="D24" s="165">
        <f>E24+C24-B24</f>
        <v>36.524436941272342</v>
      </c>
      <c r="E24" s="165">
        <v>13.323384999999998</v>
      </c>
    </row>
    <row r="25" spans="1:5">
      <c r="A25" t="s">
        <v>212</v>
      </c>
      <c r="B25" s="165">
        <f>'Figure SA-5'!E25</f>
        <v>78</v>
      </c>
      <c r="C25" s="168"/>
      <c r="D25" s="165">
        <v>32</v>
      </c>
      <c r="E25" s="16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4"/>
  <sheetViews>
    <sheetView showGridLines="0" zoomScale="70" zoomScaleNormal="70" workbookViewId="0"/>
  </sheetViews>
  <sheetFormatPr defaultColWidth="9.140625" defaultRowHeight="12.75"/>
  <cols>
    <col min="1" max="1" width="21.5703125" customWidth="1"/>
    <col min="2" max="2" width="14.140625" customWidth="1"/>
    <col min="3" max="3" width="9.5703125" customWidth="1"/>
    <col min="4" max="4" width="26.5703125" customWidth="1"/>
    <col min="5" max="5" width="9.5703125" customWidth="1"/>
    <col min="6" max="6" width="10.5703125" customWidth="1"/>
    <col min="7" max="7" width="19.85546875" customWidth="1"/>
    <col min="8" max="8" width="9.5703125" customWidth="1"/>
    <col min="9" max="9" width="1.5703125" customWidth="1"/>
    <col min="10" max="10" width="14.5703125" customWidth="1"/>
    <col min="11" max="12" width="10.5703125" customWidth="1"/>
    <col min="13" max="13" width="10.42578125" customWidth="1"/>
    <col min="14" max="14" width="9.5703125" customWidth="1"/>
    <col min="17" max="17" width="15.42578125" bestFit="1" customWidth="1"/>
    <col min="18" max="18" width="13.42578125" bestFit="1" customWidth="1"/>
    <col min="22" max="22" width="12.140625" customWidth="1"/>
    <col min="24" max="24" width="10.42578125" bestFit="1" customWidth="1"/>
  </cols>
  <sheetData>
    <row r="1" spans="1:23" ht="14.2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4.25">
      <c r="A2" s="15"/>
      <c r="B2" s="16" t="s">
        <v>13</v>
      </c>
      <c r="C2" s="133"/>
      <c r="D2" s="17" t="s">
        <v>14</v>
      </c>
      <c r="E2" s="18"/>
      <c r="F2" s="133" t="s">
        <v>15</v>
      </c>
      <c r="G2" s="133"/>
      <c r="H2" s="133"/>
      <c r="I2" s="15"/>
      <c r="J2" s="18"/>
      <c r="K2" s="133"/>
      <c r="L2" s="19" t="s">
        <v>16</v>
      </c>
      <c r="M2" s="133"/>
      <c r="N2" s="15"/>
    </row>
    <row r="3" spans="1:23" ht="14.25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4.25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25">
      <c r="A5" s="15"/>
      <c r="B5" s="135" t="s">
        <v>31</v>
      </c>
      <c r="C5" s="134"/>
      <c r="D5" s="27" t="s">
        <v>32</v>
      </c>
      <c r="G5" s="135"/>
      <c r="I5" s="135"/>
      <c r="J5" s="135" t="s">
        <v>33</v>
      </c>
      <c r="K5" s="135"/>
      <c r="L5" s="135"/>
      <c r="M5" s="135"/>
      <c r="N5" s="135"/>
      <c r="W5" s="26"/>
    </row>
    <row r="6" spans="1:23" ht="16.5" customHeight="1">
      <c r="A6" s="15" t="s">
        <v>37</v>
      </c>
      <c r="B6" s="114">
        <v>87.45</v>
      </c>
      <c r="C6" s="114">
        <v>86.174000000000007</v>
      </c>
      <c r="D6" s="114">
        <f>F6/C6</f>
        <v>49.555329913895143</v>
      </c>
      <c r="E6" s="115">
        <v>274.39400000000001</v>
      </c>
      <c r="F6" s="116">
        <v>4270.3810000000003</v>
      </c>
      <c r="G6" s="28">
        <f>G27</f>
        <v>24.512114749955</v>
      </c>
      <c r="H6" s="28">
        <f>SUM(E6:G6)</f>
        <v>4569.2871147499554</v>
      </c>
      <c r="I6" s="15"/>
      <c r="J6" s="116">
        <f>J27</f>
        <v>2211.9384453555185</v>
      </c>
      <c r="K6" s="116">
        <f>M6-L6-J6</f>
        <v>101.34858267427353</v>
      </c>
      <c r="L6" s="28">
        <f>L27</f>
        <v>1991.816086720163</v>
      </c>
      <c r="M6" s="28">
        <f>H6-N6</f>
        <v>4305.1031147499552</v>
      </c>
      <c r="N6" s="28">
        <v>264.18400000000003</v>
      </c>
    </row>
    <row r="7" spans="1:23" ht="16.5" customHeight="1">
      <c r="A7" s="15" t="s">
        <v>165</v>
      </c>
      <c r="B7" s="114">
        <v>83.6</v>
      </c>
      <c r="C7" s="114">
        <v>82.355999999999995</v>
      </c>
      <c r="D7" s="114">
        <f>F7/C7</f>
        <v>50.569199572587301</v>
      </c>
      <c r="E7" s="115">
        <f>N6</f>
        <v>264.18400000000003</v>
      </c>
      <c r="F7" s="116">
        <v>4164.6769999999997</v>
      </c>
      <c r="G7" s="28">
        <v>25</v>
      </c>
      <c r="H7" s="28">
        <f>SUM(E7:G7)</f>
        <v>4453.8609999999999</v>
      </c>
      <c r="I7" s="15"/>
      <c r="J7" s="116">
        <v>2300</v>
      </c>
      <c r="K7" s="184">
        <v>113.76600000000001</v>
      </c>
      <c r="L7" s="28">
        <v>1700</v>
      </c>
      <c r="M7" s="28">
        <f>SUM(J7:L7)</f>
        <v>4113.7659999999996</v>
      </c>
      <c r="N7" s="28">
        <f>H7-M7</f>
        <v>340.09500000000025</v>
      </c>
      <c r="P7" s="185"/>
    </row>
    <row r="8" spans="1:23" ht="16.5" customHeight="1">
      <c r="A8" s="15" t="s">
        <v>166</v>
      </c>
      <c r="B8" s="114">
        <v>86.51</v>
      </c>
      <c r="C8" s="114">
        <v>85.6</v>
      </c>
      <c r="D8" s="114">
        <f>F8/C8</f>
        <v>51.985981308411219</v>
      </c>
      <c r="E8" s="115">
        <f>N7</f>
        <v>340.09500000000025</v>
      </c>
      <c r="F8" s="116">
        <v>4450</v>
      </c>
      <c r="G8" s="28">
        <v>15</v>
      </c>
      <c r="H8" s="28">
        <f>SUM(E8:G8)</f>
        <v>4805.0950000000003</v>
      </c>
      <c r="I8" s="15"/>
      <c r="J8" s="116">
        <v>2425</v>
      </c>
      <c r="K8" s="184">
        <v>110</v>
      </c>
      <c r="L8" s="28">
        <v>1825</v>
      </c>
      <c r="M8" s="28">
        <f>SUM(J8:L8)</f>
        <v>4360</v>
      </c>
      <c r="N8" s="28">
        <f>H8-M8</f>
        <v>445.09500000000025</v>
      </c>
      <c r="P8" s="185"/>
      <c r="Q8" s="185"/>
    </row>
    <row r="9" spans="1:23" ht="16.5" customHeight="1">
      <c r="A9" s="15"/>
      <c r="B9" s="15"/>
      <c r="C9" s="15"/>
      <c r="D9" s="15"/>
      <c r="E9" s="29"/>
      <c r="F9" s="29"/>
      <c r="G9" s="30"/>
      <c r="H9" s="29"/>
      <c r="I9" s="29"/>
      <c r="J9" s="30"/>
      <c r="K9" s="30"/>
      <c r="L9" s="30"/>
      <c r="M9" s="30"/>
      <c r="N9" s="30"/>
    </row>
    <row r="10" spans="1:23" ht="16.5" customHeight="1">
      <c r="A10" s="31" t="s">
        <v>37</v>
      </c>
      <c r="B10" s="86"/>
      <c r="C10" s="86"/>
      <c r="D10" s="86"/>
      <c r="E10" s="33"/>
      <c r="F10" s="33"/>
      <c r="G10" s="6"/>
      <c r="H10" s="13"/>
      <c r="I10" s="86"/>
      <c r="J10" s="13"/>
      <c r="K10" s="32"/>
      <c r="L10" s="6"/>
      <c r="M10" s="6"/>
      <c r="N10" s="13"/>
    </row>
    <row r="11" spans="1:23" ht="16.5" customHeight="1">
      <c r="A11" s="15" t="s">
        <v>38</v>
      </c>
      <c r="B11" s="86"/>
      <c r="C11" s="86"/>
      <c r="D11" s="86"/>
      <c r="E11" s="33"/>
      <c r="F11" s="33"/>
      <c r="G11" s="6">
        <f>(31794.8*36.74371)/1000000</f>
        <v>1.1682589107079999</v>
      </c>
      <c r="H11" s="13"/>
      <c r="I11" s="86"/>
      <c r="J11" s="6">
        <f>((5028287*0.907185)*36.74371)/1000000</f>
        <v>167.60961304264146</v>
      </c>
      <c r="K11" s="32"/>
      <c r="L11" s="6">
        <f>(2077930.3*36.74371)/1000000</f>
        <v>76.350868343412998</v>
      </c>
      <c r="M11" s="6"/>
      <c r="N11" s="13"/>
      <c r="Q11" s="89"/>
    </row>
    <row r="12" spans="1:23" ht="16.5" customHeight="1">
      <c r="A12" s="15" t="s">
        <v>39</v>
      </c>
      <c r="B12" s="86"/>
      <c r="C12" s="86"/>
      <c r="D12" s="86"/>
      <c r="E12" s="33"/>
      <c r="F12" s="33"/>
      <c r="G12" s="6">
        <f>(33827.2*36.74371)/1000000</f>
        <v>1.2429368269119998</v>
      </c>
      <c r="H12" s="13"/>
      <c r="I12" s="86"/>
      <c r="J12" s="6">
        <f>((5899694*0.907185)*36.74371)/1000000</f>
        <v>196.65652107964277</v>
      </c>
      <c r="K12" s="32"/>
      <c r="L12" s="6">
        <f>(9947619.5*36.74371)/1000000</f>
        <v>365.51244609834498</v>
      </c>
      <c r="M12" s="6"/>
      <c r="N12" s="13"/>
      <c r="Q12" s="89"/>
    </row>
    <row r="13" spans="1:23" ht="16.5" customHeight="1">
      <c r="A13" s="15" t="s">
        <v>40</v>
      </c>
      <c r="B13" s="86"/>
      <c r="C13" s="86"/>
      <c r="D13" s="86"/>
      <c r="E13" s="33"/>
      <c r="F13" s="33"/>
      <c r="G13" s="6">
        <f>(35058.7*36.74371)/1000000</f>
        <v>1.288186705777</v>
      </c>
      <c r="H13" s="13"/>
      <c r="I13" s="86"/>
      <c r="J13" s="6">
        <f>((5687098*0.907185)*36.74371)/1000000</f>
        <v>189.56998578553299</v>
      </c>
      <c r="K13" s="32"/>
      <c r="L13" s="6">
        <f>(9794669.4*36.74371)/1000000</f>
        <v>359.89249197947402</v>
      </c>
      <c r="M13" s="6"/>
      <c r="N13" s="13"/>
      <c r="Q13" s="89"/>
    </row>
    <row r="14" spans="1:23" ht="16.5" customHeight="1">
      <c r="A14" s="15" t="s">
        <v>41</v>
      </c>
      <c r="B14" s="86"/>
      <c r="C14" s="86"/>
      <c r="D14" s="86"/>
      <c r="E14" s="33">
        <f>N6</f>
        <v>264.18400000000003</v>
      </c>
      <c r="F14" s="33">
        <v>4270.3810000000003</v>
      </c>
      <c r="G14" s="6">
        <f>SUM(G11:G13)</f>
        <v>3.699382443397</v>
      </c>
      <c r="H14" s="13">
        <f>SUM(E14:G14)</f>
        <v>4538.2643824433972</v>
      </c>
      <c r="I14" s="86"/>
      <c r="J14" s="6">
        <f>SUM(J11:J13)</f>
        <v>553.83611990781719</v>
      </c>
      <c r="K14" s="32">
        <f>M14-L14-J14</f>
        <v>161.52045611434789</v>
      </c>
      <c r="L14" s="6">
        <f>SUM(L11:L13)</f>
        <v>801.75580642123202</v>
      </c>
      <c r="M14" s="6">
        <f>H14-N14</f>
        <v>1517.1123824433971</v>
      </c>
      <c r="N14" s="13">
        <f>3021.152</f>
        <v>3021.152</v>
      </c>
    </row>
    <row r="15" spans="1:23" ht="16.5" customHeight="1">
      <c r="A15" s="15" t="s">
        <v>42</v>
      </c>
      <c r="B15" s="86"/>
      <c r="C15" s="86"/>
      <c r="D15" s="86"/>
      <c r="E15" s="33"/>
      <c r="F15" s="91"/>
      <c r="G15" s="6">
        <f>(36017.3*36.74371)/1000000</f>
        <v>1.3234092261829999</v>
      </c>
      <c r="H15" s="13"/>
      <c r="I15" s="86"/>
      <c r="J15" s="6">
        <f>((5622561*0.907185)*36.74371)/1000000</f>
        <v>187.41875185697378</v>
      </c>
      <c r="K15" s="32"/>
      <c r="L15" s="6">
        <f>(7968849.1*36.74371)/1000000</f>
        <v>292.80508036416103</v>
      </c>
      <c r="M15" s="6"/>
      <c r="N15" s="13"/>
    </row>
    <row r="16" spans="1:23" ht="16.5" customHeight="1">
      <c r="A16" s="15" t="s">
        <v>43</v>
      </c>
      <c r="B16" s="86"/>
      <c r="C16" s="86"/>
      <c r="D16" s="86"/>
      <c r="E16" s="33"/>
      <c r="F16" s="91"/>
      <c r="G16" s="6">
        <f>(5893.9*36.74371)/1000000</f>
        <v>0.216563752369</v>
      </c>
      <c r="H16" s="13"/>
      <c r="I16" s="86"/>
      <c r="J16" s="6">
        <f>((5734398*0.907185)*36.74371)/1000000</f>
        <v>191.14665288844833</v>
      </c>
      <c r="K16" s="32"/>
      <c r="L16" s="6">
        <f>(8559125.5*36.74371)/1000000</f>
        <v>314.49402522560501</v>
      </c>
      <c r="M16" s="6"/>
      <c r="N16" s="13"/>
    </row>
    <row r="17" spans="1:24" ht="16.5" customHeight="1">
      <c r="A17" s="15" t="s">
        <v>44</v>
      </c>
      <c r="B17" s="86"/>
      <c r="C17" s="86"/>
      <c r="D17" s="86"/>
      <c r="E17" s="33"/>
      <c r="F17" s="91"/>
      <c r="G17" s="6">
        <f>(27761.8*36.7371)/1000000</f>
        <v>1.0198880227799998</v>
      </c>
      <c r="H17" s="13"/>
      <c r="I17" s="86"/>
      <c r="J17" s="6">
        <f>((5306995*0.907185)*36.74371)/1000000</f>
        <v>176.89988227983665</v>
      </c>
      <c r="K17" s="32"/>
      <c r="L17" s="6">
        <f>(5374314*36.74371)/1000000</f>
        <v>197.47223506494001</v>
      </c>
      <c r="M17" s="6"/>
      <c r="N17" s="13"/>
      <c r="Q17" s="89"/>
    </row>
    <row r="18" spans="1:24" ht="16.5" customHeight="1">
      <c r="A18" s="15" t="s">
        <v>45</v>
      </c>
      <c r="B18" s="86"/>
      <c r="C18" s="86"/>
      <c r="D18" s="86"/>
      <c r="E18" s="33">
        <f>N14</f>
        <v>3021.152</v>
      </c>
      <c r="F18" s="91"/>
      <c r="G18" s="6">
        <f>SUM(G15:G17)</f>
        <v>2.559861001332</v>
      </c>
      <c r="H18" s="13">
        <f>SUM(E18:G18)</f>
        <v>3023.7118610013322</v>
      </c>
      <c r="I18" s="86"/>
      <c r="J18" s="6">
        <f>SUM(J15:J17)</f>
        <v>555.46528702525882</v>
      </c>
      <c r="K18" s="32">
        <f>M18-L18-J18</f>
        <v>-23.156766678632721</v>
      </c>
      <c r="L18" s="6">
        <f>SUM(L15:L17)</f>
        <v>804.77134065470602</v>
      </c>
      <c r="M18" s="6">
        <f>H18-N18</f>
        <v>1337.0798610013321</v>
      </c>
      <c r="N18" s="13">
        <f>1686.632</f>
        <v>1686.6320000000001</v>
      </c>
      <c r="P18" s="35"/>
    </row>
    <row r="19" spans="1:24" ht="16.5" customHeight="1">
      <c r="A19" s="15" t="s">
        <v>46</v>
      </c>
      <c r="B19" s="86"/>
      <c r="C19" s="86"/>
      <c r="D19" s="86"/>
      <c r="E19" s="33"/>
      <c r="F19" s="91"/>
      <c r="G19" s="6">
        <f>(34752.6*36.74371)/1000000</f>
        <v>1.2769394561459999</v>
      </c>
      <c r="H19" s="13"/>
      <c r="I19" s="86"/>
      <c r="J19" s="6">
        <f>((5939012*0.907185)*36.74371)/1000000</f>
        <v>197.96712144227334</v>
      </c>
      <c r="K19" s="32"/>
      <c r="L19" s="6">
        <f>(3135729.4*36.74371)/1000000</f>
        <v>115.21833171207399</v>
      </c>
      <c r="M19" s="6"/>
      <c r="N19" s="13"/>
      <c r="Q19" s="89"/>
    </row>
    <row r="20" spans="1:24" ht="16.5" customHeight="1">
      <c r="A20" s="15" t="s">
        <v>47</v>
      </c>
      <c r="B20" s="86"/>
      <c r="C20" s="86"/>
      <c r="D20" s="86"/>
      <c r="E20" s="33"/>
      <c r="F20" s="91"/>
      <c r="G20" s="6">
        <f>(8485.3*36.74371)/1000000</f>
        <v>0.31178140246299996</v>
      </c>
      <c r="H20" s="13"/>
      <c r="I20" s="86"/>
      <c r="J20" s="6">
        <f>((5609607*0.907185)*36.74371)/1000000</f>
        <v>186.98695173749888</v>
      </c>
      <c r="K20" s="32"/>
      <c r="L20" s="6">
        <f>(2554266.9*36.74371)/1000000</f>
        <v>93.853242236198994</v>
      </c>
      <c r="M20" s="6"/>
      <c r="N20" s="13"/>
    </row>
    <row r="21" spans="1:24" ht="16.5" customHeight="1">
      <c r="A21" s="15" t="s">
        <v>48</v>
      </c>
      <c r="B21" s="86"/>
      <c r="C21" s="86"/>
      <c r="D21" s="86"/>
      <c r="E21" s="33"/>
      <c r="F21" s="91"/>
      <c r="G21" s="6">
        <f>(126995.3*36.74371)/1000000</f>
        <v>4.6662784745629997</v>
      </c>
      <c r="H21" s="13"/>
      <c r="I21" s="86"/>
      <c r="J21" s="6">
        <f>((5679096*0.907185)*36.74371)/1000000</f>
        <v>189.30325237839708</v>
      </c>
      <c r="K21" s="32"/>
      <c r="L21" s="6">
        <f>(986447.6*36.74371)/1000000</f>
        <v>36.245744544596</v>
      </c>
      <c r="M21" s="6"/>
      <c r="N21" s="13"/>
      <c r="P21" s="86"/>
      <c r="Q21" s="89"/>
    </row>
    <row r="22" spans="1:24" ht="16.5" customHeight="1">
      <c r="A22" s="15" t="s">
        <v>49</v>
      </c>
      <c r="B22" s="86"/>
      <c r="C22" s="86"/>
      <c r="D22" s="86"/>
      <c r="E22" s="33">
        <f>N18</f>
        <v>1686.6320000000001</v>
      </c>
      <c r="F22" s="91"/>
      <c r="G22" s="6">
        <f>SUM(G19:G21)</f>
        <v>6.254999333172</v>
      </c>
      <c r="H22" s="13">
        <f>SUM(E22:G22)</f>
        <v>1692.8869993331721</v>
      </c>
      <c r="I22" s="86"/>
      <c r="J22" s="6">
        <f>SUM(J19:J21)</f>
        <v>574.25732555816921</v>
      </c>
      <c r="K22" s="32">
        <f>M22-L22-J22</f>
        <v>76.924355282133774</v>
      </c>
      <c r="L22" s="6">
        <f>SUM(L19:L21)</f>
        <v>245.31731849286899</v>
      </c>
      <c r="M22" s="6">
        <f>H22-N22</f>
        <v>896.49899933317204</v>
      </c>
      <c r="N22" s="13">
        <v>796.38800000000003</v>
      </c>
      <c r="P22" s="86"/>
    </row>
    <row r="23" spans="1:24" ht="16.5" customHeight="1">
      <c r="A23" s="15" t="s">
        <v>50</v>
      </c>
      <c r="B23" s="86"/>
      <c r="C23" s="86"/>
      <c r="D23" s="86"/>
      <c r="E23" s="33"/>
      <c r="F23" s="91"/>
      <c r="G23" s="6">
        <f>(166679*36.744)/1000000</f>
        <v>6.1244531760000003</v>
      </c>
      <c r="H23" s="13"/>
      <c r="I23" s="86"/>
      <c r="J23" s="6">
        <f>((5236516*0.907185)*36.74371)/1000000</f>
        <v>174.55058162980768</v>
      </c>
      <c r="K23" s="32"/>
      <c r="L23" s="6">
        <f>(831037.3*36.74371)/1000000</f>
        <v>30.535393550383002</v>
      </c>
      <c r="M23" s="6"/>
      <c r="N23" s="13"/>
    </row>
    <row r="24" spans="1:24" ht="16.5" customHeight="1">
      <c r="A24" s="15" t="s">
        <v>51</v>
      </c>
      <c r="B24" s="86"/>
      <c r="C24" s="86"/>
      <c r="D24" s="86"/>
      <c r="E24" s="33"/>
      <c r="F24" s="91"/>
      <c r="G24" s="6">
        <f>(114325.1*36.74371)/1000000</f>
        <v>4.2007283201210006</v>
      </c>
      <c r="H24" s="13"/>
      <c r="I24" s="86"/>
      <c r="J24" s="6">
        <f>((5545001*0.907185)*36.74371)/1000000</f>
        <v>184.83341780830332</v>
      </c>
      <c r="K24" s="32"/>
      <c r="L24" s="6">
        <f>(1275803.3*36.74371)/1000000</f>
        <v>46.877746472243004</v>
      </c>
      <c r="M24" s="6"/>
      <c r="N24" s="13"/>
      <c r="Q24" s="89"/>
    </row>
    <row r="25" spans="1:24" ht="16.5" customHeight="1">
      <c r="A25" s="15" t="s">
        <v>52</v>
      </c>
      <c r="B25" s="86"/>
      <c r="C25" s="86"/>
      <c r="D25" s="86"/>
      <c r="E25" s="33"/>
      <c r="F25" s="91"/>
      <c r="G25" s="6">
        <f>(45519.5*36.74371)/1000000</f>
        <v>1.6725553073450001</v>
      </c>
      <c r="H25" s="13"/>
      <c r="I25" s="86"/>
      <c r="J25" s="6">
        <f>((5069870*0.907185)*36.74371)/1000000</f>
        <v>168.99571342616218</v>
      </c>
      <c r="K25" s="32"/>
      <c r="L25" s="6">
        <f>(1702563*36.74371)/1000000</f>
        <v>62.558481128730001</v>
      </c>
      <c r="M25" s="6"/>
      <c r="N25" s="13"/>
    </row>
    <row r="26" spans="1:24" ht="16.5" customHeight="1">
      <c r="A26" s="15" t="s">
        <v>53</v>
      </c>
      <c r="B26" s="86"/>
      <c r="C26" s="86"/>
      <c r="D26" s="86"/>
      <c r="E26" s="33">
        <f>N22</f>
        <v>796.38800000000003</v>
      </c>
      <c r="F26" s="91"/>
      <c r="G26" s="6">
        <f>SUM(G23:G25)</f>
        <v>11.997736803466001</v>
      </c>
      <c r="H26" s="13">
        <f>SUM(E26:G26)</f>
        <v>808.38573680346599</v>
      </c>
      <c r="I26" s="86"/>
      <c r="J26" s="6">
        <f>SUM(J23:J25)</f>
        <v>528.37971286427319</v>
      </c>
      <c r="K26" s="32">
        <f>M26-J26-L26</f>
        <v>-124.14959721216317</v>
      </c>
      <c r="L26" s="6">
        <f>SUM(L23:L25)</f>
        <v>139.971621151356</v>
      </c>
      <c r="M26" s="6">
        <f>H26-N26</f>
        <v>544.20173680346602</v>
      </c>
      <c r="N26" s="104">
        <v>264.18400000000003</v>
      </c>
    </row>
    <row r="27" spans="1:24" ht="16.5" customHeight="1">
      <c r="A27" s="15" t="s">
        <v>28</v>
      </c>
      <c r="B27" s="86"/>
      <c r="C27" s="86"/>
      <c r="D27" s="86"/>
      <c r="E27" s="33"/>
      <c r="F27" s="91"/>
      <c r="G27" s="103">
        <f>(667110.5*36.74371)/1000000</f>
        <v>24.512114749955</v>
      </c>
      <c r="H27" s="97"/>
      <c r="I27" s="98"/>
      <c r="J27" s="6">
        <f>SUM(J14,J18,J22,J26)</f>
        <v>2211.9384453555185</v>
      </c>
      <c r="K27" s="99"/>
      <c r="L27" s="6">
        <f>(54208355.3*36.74371)/1000000</f>
        <v>1991.816086720163</v>
      </c>
      <c r="M27" s="6"/>
      <c r="N27" s="13"/>
      <c r="Q27" s="89"/>
    </row>
    <row r="28" spans="1:24" ht="16.5" customHeight="1">
      <c r="A28" s="15"/>
      <c r="B28" s="86"/>
      <c r="C28" s="86"/>
      <c r="D28" s="86"/>
      <c r="E28" s="33"/>
      <c r="F28" s="33"/>
      <c r="G28" s="6"/>
      <c r="H28" s="13"/>
      <c r="I28" s="86"/>
      <c r="J28" s="13"/>
      <c r="K28" s="32"/>
      <c r="L28" s="6"/>
      <c r="M28" s="6"/>
      <c r="N28" s="13"/>
      <c r="R28" s="86"/>
    </row>
    <row r="29" spans="1:24" ht="16.5" customHeight="1">
      <c r="A29" s="31" t="s">
        <v>54</v>
      </c>
      <c r="B29" s="86"/>
      <c r="C29" s="86"/>
      <c r="D29" s="86"/>
      <c r="E29" s="33"/>
      <c r="F29" s="33"/>
      <c r="G29" s="6"/>
      <c r="H29" s="13"/>
      <c r="I29" s="86"/>
      <c r="J29" s="13"/>
      <c r="K29" s="32"/>
      <c r="L29" s="6"/>
      <c r="M29" s="6"/>
      <c r="N29" s="13"/>
      <c r="Q29" s="86"/>
      <c r="V29" s="101"/>
      <c r="X29" s="102"/>
    </row>
    <row r="30" spans="1:24" ht="16.5" customHeight="1">
      <c r="A30" s="15" t="s">
        <v>38</v>
      </c>
      <c r="B30" s="86"/>
      <c r="C30" s="86"/>
      <c r="D30" s="86"/>
      <c r="E30" s="33"/>
      <c r="F30" s="33"/>
      <c r="G30" s="6">
        <f>(37462.8*36.74371)/1000000</f>
        <v>1.3765222589880002</v>
      </c>
      <c r="H30" s="13"/>
      <c r="I30" s="86"/>
      <c r="J30" s="6">
        <f>((5242931*0.907185)*36.74371)/1000000</f>
        <v>174.76441502230665</v>
      </c>
      <c r="K30" s="32"/>
      <c r="L30" s="6">
        <f>(2471110*36.74371)/1000000</f>
        <v>90.797749218099995</v>
      </c>
      <c r="M30" s="6"/>
      <c r="N30" s="13"/>
      <c r="T30" s="100"/>
    </row>
    <row r="31" spans="1:24" ht="16.5" customHeight="1">
      <c r="A31" s="15" t="s">
        <v>39</v>
      </c>
      <c r="B31" s="86"/>
      <c r="C31" s="86"/>
      <c r="D31" s="86"/>
      <c r="E31" s="33"/>
      <c r="F31" s="33"/>
      <c r="G31" s="6">
        <f>(19548.9*36.74371)/1000000</f>
        <v>0.71829911241900002</v>
      </c>
      <c r="H31" s="13"/>
      <c r="I31" s="86"/>
      <c r="J31" s="6">
        <f>((6041685*0.907185)*36.74371)/1000000</f>
        <v>201.38955572256145</v>
      </c>
      <c r="K31" s="32"/>
      <c r="L31" s="6">
        <f>(9477743.2*36.74371)/1000000</f>
        <v>348.24744759527192</v>
      </c>
      <c r="M31" s="6"/>
      <c r="N31" s="13"/>
      <c r="T31" s="100"/>
    </row>
    <row r="32" spans="1:24" ht="16.5" customHeight="1">
      <c r="A32" s="15" t="s">
        <v>40</v>
      </c>
      <c r="B32" s="86"/>
      <c r="C32" s="86"/>
      <c r="D32" s="86"/>
      <c r="E32" s="33"/>
      <c r="F32" s="33"/>
      <c r="G32" s="6">
        <f>(46150.7*36.74371)/1000000</f>
        <v>1.6957479370969999</v>
      </c>
      <c r="H32" s="13"/>
      <c r="I32" s="86"/>
      <c r="J32" s="6">
        <f>((6002708*0.907185)*36.74371)/1000000</f>
        <v>200.09032202974259</v>
      </c>
      <c r="K32" s="32"/>
      <c r="L32" s="6">
        <f>(7463380.7*36.74371)/1000000</f>
        <v>274.232296060397</v>
      </c>
      <c r="M32" s="6"/>
      <c r="N32" s="112"/>
      <c r="T32" s="100"/>
    </row>
    <row r="33" spans="1:20" ht="16.5" customHeight="1">
      <c r="A33" s="15" t="s">
        <v>41</v>
      </c>
      <c r="B33" s="86"/>
      <c r="C33" s="86"/>
      <c r="D33" s="86"/>
      <c r="E33" s="33">
        <f>N26</f>
        <v>264.18400000000003</v>
      </c>
      <c r="F33" s="33">
        <v>4164.6769999999997</v>
      </c>
      <c r="G33" s="6">
        <f>SUM(G30:G32)</f>
        <v>3.7905693085040002</v>
      </c>
      <c r="H33" s="13">
        <f>SUM(E33:G33)</f>
        <v>4432.6515693085039</v>
      </c>
      <c r="I33" s="86"/>
      <c r="J33" s="6">
        <f>SUM(J30:J32)</f>
        <v>576.2442927746107</v>
      </c>
      <c r="K33" s="32">
        <f>M33-L33-J33</f>
        <v>142.41078366012414</v>
      </c>
      <c r="L33" s="6">
        <f>SUM(L30:L32)</f>
        <v>713.27749287376901</v>
      </c>
      <c r="M33" s="6">
        <f>H33-N33</f>
        <v>1431.9325693085038</v>
      </c>
      <c r="N33" s="117">
        <v>3000.7190000000001</v>
      </c>
      <c r="T33" s="100"/>
    </row>
    <row r="34" spans="1:20" ht="16.5" customHeight="1">
      <c r="A34" s="15" t="s">
        <v>42</v>
      </c>
      <c r="B34" s="86"/>
      <c r="C34" s="86"/>
      <c r="D34" s="86"/>
      <c r="E34" s="33"/>
      <c r="F34" s="33"/>
      <c r="G34" s="6">
        <f>(18657.9*36.74371)/1000000</f>
        <v>0.68556046680899996</v>
      </c>
      <c r="H34" s="13"/>
      <c r="I34" s="86"/>
      <c r="J34" s="6">
        <f>((6128558*0.907185)*36.74371)/1000000</f>
        <v>204.28532319045925</v>
      </c>
      <c r="K34" s="32"/>
      <c r="L34" s="6">
        <f>(4824464.6*36.74371)/1000000</f>
        <v>177.26872816766598</v>
      </c>
      <c r="M34" s="6"/>
      <c r="N34" s="117"/>
      <c r="T34" s="100"/>
    </row>
    <row r="35" spans="1:20" ht="16.5" customHeight="1">
      <c r="A35" s="15" t="s">
        <v>43</v>
      </c>
      <c r="B35" s="86"/>
      <c r="C35" s="86"/>
      <c r="D35" s="86"/>
      <c r="E35" s="33"/>
      <c r="F35" s="33"/>
      <c r="G35" s="6">
        <f>(25838.2*36.74371)/1000000</f>
        <v>0.94939132772200008</v>
      </c>
      <c r="H35" s="13"/>
      <c r="I35" s="86"/>
      <c r="J35" s="6">
        <f>((5844947*0.907185)*36.74371)/1000000</f>
        <v>194.83162057471029</v>
      </c>
      <c r="K35" s="32"/>
      <c r="L35" s="6">
        <f>(5961252*36.74371)/1000000</f>
        <v>219.03851472491999</v>
      </c>
      <c r="M35" s="6"/>
      <c r="N35" s="117"/>
      <c r="T35" s="100"/>
    </row>
    <row r="36" spans="1:20" ht="16.5" customHeight="1">
      <c r="A36" s="15" t="s">
        <v>44</v>
      </c>
      <c r="B36" s="86"/>
      <c r="C36" s="86"/>
      <c r="D36" s="86"/>
      <c r="E36" s="33"/>
      <c r="F36" s="33"/>
      <c r="G36" s="6">
        <f>(24300.7*36.74371)/1000000</f>
        <v>0.89289787359700001</v>
      </c>
      <c r="H36" s="13"/>
      <c r="I36" s="86"/>
      <c r="J36" s="6">
        <f>((5817974*0.907185)*36.74371)/1000000</f>
        <v>193.93252032593784</v>
      </c>
      <c r="K36" s="32"/>
      <c r="L36" s="6">
        <f>(5263949.5*36.74371)/1000000</f>
        <v>193.417033882645</v>
      </c>
      <c r="M36" s="6"/>
      <c r="N36" s="117"/>
      <c r="T36" s="100"/>
    </row>
    <row r="37" spans="1:20" ht="16.5" customHeight="1">
      <c r="A37" s="15" t="s">
        <v>45</v>
      </c>
      <c r="B37" s="86"/>
      <c r="C37" s="86"/>
      <c r="D37" s="86"/>
      <c r="E37" s="33">
        <f>N33</f>
        <v>3000.7190000000001</v>
      </c>
      <c r="F37" s="33"/>
      <c r="G37" s="6">
        <f>SUM(G34:G36)</f>
        <v>2.5278496681280003</v>
      </c>
      <c r="H37" s="13">
        <f>SUM(E37:G37)</f>
        <v>3003.2468496681281</v>
      </c>
      <c r="I37" s="86"/>
      <c r="J37" s="6">
        <f>SUM(J34:J36)</f>
        <v>593.04946409110744</v>
      </c>
      <c r="K37" s="32">
        <f>M37-L37-J37</f>
        <v>-24.605891198210202</v>
      </c>
      <c r="L37" s="6">
        <f>SUM(L34:L36)</f>
        <v>589.72427677523092</v>
      </c>
      <c r="M37" s="6">
        <f>H37-N37</f>
        <v>1158.1678496681282</v>
      </c>
      <c r="N37" s="117">
        <v>1845.079</v>
      </c>
      <c r="T37" s="100"/>
    </row>
    <row r="38" spans="1:20" ht="16.5" customHeight="1">
      <c r="A38" s="15" t="s">
        <v>46</v>
      </c>
      <c r="B38" s="86"/>
      <c r="C38" s="86"/>
      <c r="D38" s="86"/>
      <c r="E38" s="33"/>
      <c r="F38" s="33"/>
      <c r="G38" s="6">
        <f>(144280.7*36.74371)/1000000</f>
        <v>5.3014081993970006</v>
      </c>
      <c r="H38" s="13"/>
      <c r="I38" s="86"/>
      <c r="J38" s="6">
        <f>((6111759*0.907185)*36.74371)/1000000</f>
        <v>203.72535636885513</v>
      </c>
      <c r="K38" s="32"/>
      <c r="L38" s="6">
        <f>(3054246.9*36.74371)/1000000</f>
        <v>112.22436236199898</v>
      </c>
      <c r="M38" s="6"/>
      <c r="N38" s="117"/>
      <c r="T38" s="100"/>
    </row>
    <row r="39" spans="1:20" ht="16.5" customHeight="1">
      <c r="A39" s="82" t="s">
        <v>55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83"/>
      <c r="M39" s="72"/>
      <c r="N39" s="72"/>
      <c r="T39" s="100"/>
    </row>
    <row r="40" spans="1:20" ht="16.5" customHeight="1">
      <c r="A40" s="15" t="s">
        <v>56</v>
      </c>
      <c r="B40" s="15"/>
      <c r="C40" s="15"/>
      <c r="D40" s="15"/>
      <c r="E40" s="36"/>
      <c r="F40" s="36"/>
      <c r="G40" s="36"/>
      <c r="H40" s="36"/>
      <c r="I40" s="36"/>
      <c r="J40" s="36"/>
      <c r="K40" s="36"/>
      <c r="L40" s="36"/>
      <c r="M40" s="36"/>
      <c r="N40" s="36"/>
      <c r="T40" s="100"/>
    </row>
    <row r="41" spans="1:20" ht="16.5" customHeight="1">
      <c r="A41" s="20" t="s">
        <v>57</v>
      </c>
      <c r="B41" s="37">
        <f>Contents!A16</f>
        <v>45426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T41" s="100"/>
    </row>
    <row r="42" spans="1:20" ht="16.5" customHeight="1">
      <c r="T42" s="100"/>
    </row>
    <row r="43" spans="1:20" ht="16.5" customHeight="1">
      <c r="K43" s="35"/>
      <c r="T43" s="100"/>
    </row>
    <row r="44" spans="1:20" ht="16.5" customHeight="1">
      <c r="K44" s="96"/>
      <c r="P44" s="35"/>
      <c r="T44" s="100"/>
    </row>
    <row r="45" spans="1:20" ht="16.5" customHeight="1">
      <c r="T45" s="100"/>
    </row>
    <row r="46" spans="1:20" ht="16.5" customHeight="1">
      <c r="J46" s="35"/>
      <c r="L46" s="35"/>
      <c r="T46" s="100"/>
    </row>
    <row r="47" spans="1:20" ht="16.5" customHeight="1">
      <c r="J47" s="35"/>
      <c r="L47" s="35"/>
      <c r="T47" s="100"/>
    </row>
    <row r="48" spans="1:20" ht="16.5" customHeight="1">
      <c r="J48" s="35"/>
      <c r="L48" s="35"/>
      <c r="T48" s="100"/>
    </row>
    <row r="49" spans="15:73" ht="16.5" customHeight="1">
      <c r="T49" s="100"/>
    </row>
    <row r="50" spans="15:73" ht="16.5" customHeight="1">
      <c r="T50" s="100"/>
    </row>
    <row r="51" spans="15:73" ht="16.5" customHeight="1">
      <c r="T51" s="100"/>
    </row>
    <row r="52" spans="15:73" ht="16.5" customHeight="1">
      <c r="T52" s="100"/>
    </row>
    <row r="53" spans="15:73" ht="16.5" customHeight="1"/>
    <row r="54" spans="15:73" ht="16.5" customHeight="1"/>
    <row r="55" spans="15:73" ht="16.5" customHeight="1"/>
    <row r="56" spans="15:73" ht="16.5" customHeight="1"/>
    <row r="57" spans="15:73" ht="16.5" customHeight="1">
      <c r="O57" s="86"/>
      <c r="P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</row>
    <row r="58" spans="15:73">
      <c r="O58" s="86"/>
      <c r="P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</row>
    <row r="59" spans="15:73">
      <c r="O59" s="86"/>
      <c r="P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</row>
    <row r="60" spans="15:73">
      <c r="O60" s="86"/>
      <c r="P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</row>
    <row r="61" spans="15:73">
      <c r="O61" s="86"/>
      <c r="P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</row>
    <row r="62" spans="15:73">
      <c r="O62" s="86"/>
      <c r="P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</row>
    <row r="63" spans="15:73">
      <c r="O63" s="86"/>
      <c r="P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</row>
    <row r="64" spans="15:73">
      <c r="O64" s="86"/>
      <c r="P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</row>
    <row r="65" spans="15:73">
      <c r="O65" s="86"/>
      <c r="P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</row>
    <row r="66" spans="15:73">
      <c r="O66" s="86"/>
      <c r="P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</row>
    <row r="67" spans="15:73">
      <c r="O67" s="86"/>
      <c r="P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</row>
    <row r="68" spans="15:73">
      <c r="O68" s="86"/>
      <c r="P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</row>
    <row r="69" spans="15:73">
      <c r="O69" s="86"/>
      <c r="P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</row>
    <row r="70" spans="15:73">
      <c r="O70" s="86"/>
      <c r="P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</row>
    <row r="71" spans="15:73">
      <c r="O71" s="86"/>
      <c r="P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</row>
    <row r="72" spans="15:73">
      <c r="O72" s="86"/>
      <c r="P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</row>
    <row r="73" spans="15:73">
      <c r="O73" s="86"/>
      <c r="P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</row>
    <row r="74" spans="15:73">
      <c r="O74" s="86"/>
      <c r="P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</row>
    <row r="75" spans="15:73">
      <c r="O75" s="86"/>
      <c r="P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</row>
    <row r="76" spans="15:73">
      <c r="O76" s="86"/>
      <c r="P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</row>
    <row r="77" spans="15:73">
      <c r="O77" s="86"/>
      <c r="P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</row>
    <row r="78" spans="15:73">
      <c r="O78" s="86"/>
      <c r="P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79" spans="15:73">
      <c r="O79" s="86"/>
      <c r="P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</row>
    <row r="80" spans="15:73">
      <c r="O80" s="86"/>
      <c r="P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</row>
    <row r="81" spans="15:73">
      <c r="O81" s="86"/>
      <c r="P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</row>
    <row r="82" spans="15:73">
      <c r="O82" s="86"/>
      <c r="P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</row>
    <row r="83" spans="15:73">
      <c r="O83" s="86"/>
      <c r="P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</row>
    <row r="84" spans="15:73">
      <c r="O84" s="86"/>
      <c r="P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</row>
    <row r="85" spans="15:73"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</row>
    <row r="86" spans="15:73"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</row>
    <row r="87" spans="15:73"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</row>
    <row r="88" spans="15:73"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</row>
    <row r="89" spans="15:73"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</row>
    <row r="90" spans="15:73"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</row>
    <row r="91" spans="15:73"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</row>
    <row r="92" spans="15:73"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</row>
    <row r="93" spans="15:73"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</row>
    <row r="94" spans="15:73"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</row>
    <row r="95" spans="15:73"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</row>
    <row r="96" spans="15:73"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</row>
    <row r="97" spans="15:73"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</row>
    <row r="98" spans="15:73"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</row>
    <row r="99" spans="15:73"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</row>
    <row r="100" spans="15:73"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</row>
    <row r="101" spans="15:73"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</row>
    <row r="102" spans="15:73"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</row>
    <row r="103" spans="15:73"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</row>
    <row r="104" spans="15:73"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</row>
    <row r="105" spans="15:73"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</row>
    <row r="106" spans="15:73"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</row>
    <row r="107" spans="15:73"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</row>
    <row r="108" spans="15:73"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</row>
    <row r="109" spans="15:73"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</row>
    <row r="110" spans="15:73"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</row>
    <row r="111" spans="15:73"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</row>
    <row r="112" spans="15:73"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</row>
    <row r="113" spans="15:73"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</row>
    <row r="114" spans="15:73"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</row>
    <row r="115" spans="15:73"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</row>
    <row r="116" spans="15:73"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</row>
    <row r="117" spans="15:73"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</row>
    <row r="118" spans="15:73"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</row>
    <row r="119" spans="15:73"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</row>
    <row r="120" spans="15:73"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</row>
    <row r="121" spans="15:73"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</row>
    <row r="122" spans="15:73"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</row>
    <row r="123" spans="15:73"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</row>
    <row r="124" spans="15:73"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</row>
    <row r="125" spans="15:73"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</row>
    <row r="126" spans="15:73"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</row>
    <row r="127" spans="15:73"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</row>
    <row r="128" spans="15:73"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</row>
    <row r="129" spans="15:73"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</row>
    <row r="130" spans="15:73"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</row>
    <row r="131" spans="15:73"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</row>
    <row r="132" spans="15:73"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</row>
    <row r="133" spans="15:73"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</row>
    <row r="134" spans="15:73"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</row>
    <row r="135" spans="15:73"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</row>
    <row r="136" spans="15:73"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</row>
    <row r="137" spans="15:73"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</row>
    <row r="138" spans="15:73"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</row>
    <row r="139" spans="15:73"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</row>
    <row r="140" spans="15:73"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</row>
    <row r="141" spans="15:73"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</row>
    <row r="142" spans="15:73"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</row>
    <row r="143" spans="15:73"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</row>
    <row r="144" spans="15:73"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</row>
    <row r="145" spans="15:73"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</row>
    <row r="146" spans="15:73"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</row>
    <row r="147" spans="15:73"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</row>
    <row r="148" spans="15:73"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</row>
    <row r="149" spans="15:73"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</row>
    <row r="150" spans="15:73"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</row>
    <row r="151" spans="15:73"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</row>
    <row r="152" spans="15:73"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</row>
    <row r="153" spans="15:73"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</row>
    <row r="154" spans="15:73"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</row>
    <row r="155" spans="15:73"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</row>
    <row r="156" spans="15:73"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</row>
    <row r="157" spans="15:73"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</row>
    <row r="158" spans="15:73"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</row>
    <row r="159" spans="15:73"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</row>
    <row r="160" spans="15:73"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</row>
    <row r="161" spans="15:73"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</row>
    <row r="162" spans="15:73"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</row>
    <row r="163" spans="15:73"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</row>
    <row r="164" spans="15:73"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</row>
    <row r="165" spans="15:73"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</row>
    <row r="166" spans="15:73"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</row>
    <row r="167" spans="15:73"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</row>
    <row r="168" spans="15:73"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</row>
    <row r="169" spans="15:73"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</row>
    <row r="170" spans="15:73"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</row>
    <row r="171" spans="15:73"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</row>
    <row r="172" spans="15:73"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</row>
    <row r="173" spans="15:73"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</row>
    <row r="174" spans="15:73"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</row>
    <row r="175" spans="15:73"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</row>
    <row r="176" spans="15:73"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</row>
    <row r="177" spans="15:73"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</row>
    <row r="178" spans="15:73"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</row>
    <row r="179" spans="15:73"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</row>
    <row r="180" spans="15:73"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</row>
    <row r="181" spans="15:73"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</row>
    <row r="182" spans="15:73"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</row>
    <row r="183" spans="15:73"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</row>
    <row r="184" spans="15:73"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</row>
    <row r="185" spans="15:73"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</row>
    <row r="186" spans="15:73"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</row>
    <row r="187" spans="15:73"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</row>
    <row r="188" spans="15:73"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</row>
    <row r="189" spans="15:73"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</row>
    <row r="190" spans="15:73"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</row>
    <row r="191" spans="15:73"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</row>
    <row r="192" spans="15:73"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</row>
    <row r="193" spans="15:73"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</row>
    <row r="194" spans="15:73"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</row>
    <row r="195" spans="15:73"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</row>
    <row r="196" spans="15:73"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</row>
    <row r="197" spans="15:73"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</row>
    <row r="198" spans="15:73"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</row>
    <row r="199" spans="15:73"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</row>
    <row r="200" spans="15:73"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</row>
    <row r="201" spans="15:73"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</row>
    <row r="202" spans="15:73"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</row>
    <row r="203" spans="15:73"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</row>
    <row r="204" spans="15:73"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</row>
    <row r="205" spans="15:73"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</row>
    <row r="206" spans="15:73"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</row>
    <row r="207" spans="15:73"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</row>
    <row r="208" spans="15:73"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</row>
    <row r="209" spans="15:73"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</row>
    <row r="210" spans="15:73"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</row>
    <row r="211" spans="15:73"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</row>
    <row r="212" spans="15:73"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</row>
    <row r="213" spans="15:73"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</row>
    <row r="214" spans="15:73"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</row>
    <row r="215" spans="15:73"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</row>
    <row r="216" spans="15:73"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</row>
    <row r="217" spans="15:73"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</row>
    <row r="218" spans="15:73"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</row>
    <row r="219" spans="15:73"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</row>
    <row r="220" spans="15:73"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</row>
    <row r="221" spans="15:73"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</row>
    <row r="222" spans="15:73"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</row>
    <row r="223" spans="15:73"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</row>
    <row r="224" spans="15:73"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</row>
    <row r="225" spans="15:73"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</row>
    <row r="226" spans="15:73"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</row>
    <row r="227" spans="15:73"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</row>
    <row r="228" spans="15:73"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</row>
    <row r="229" spans="15:73"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</row>
    <row r="230" spans="15:73"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</row>
    <row r="231" spans="15:73"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</row>
    <row r="232" spans="15:73"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</row>
    <row r="233" spans="15:73"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</row>
    <row r="234" spans="15:73"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</row>
    <row r="235" spans="15:73"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</row>
    <row r="236" spans="15:73"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</row>
    <row r="237" spans="15:73"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</row>
    <row r="238" spans="15:73"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</row>
    <row r="239" spans="15:73"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</row>
    <row r="240" spans="15:73"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</row>
    <row r="241" spans="15:73"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</row>
    <row r="242" spans="15:73"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</row>
    <row r="243" spans="15:73"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</row>
    <row r="244" spans="15:73"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</row>
    <row r="245" spans="15:73"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</row>
    <row r="246" spans="15:73"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</row>
    <row r="247" spans="15:73"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</row>
    <row r="248" spans="15:73"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</row>
    <row r="249" spans="15:73"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</row>
    <row r="250" spans="15:73"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  <c r="BT250" s="86"/>
      <c r="BU250" s="86"/>
    </row>
    <row r="251" spans="15:73"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</row>
    <row r="252" spans="15:73"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</row>
    <row r="253" spans="15:73"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  <c r="BT253" s="86"/>
      <c r="BU253" s="86"/>
    </row>
    <row r="254" spans="15:73"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  <c r="BT254" s="86"/>
      <c r="BU254" s="86"/>
    </row>
    <row r="255" spans="15:73"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</row>
    <row r="256" spans="15:73"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  <c r="BT256" s="86"/>
      <c r="BU256" s="86"/>
    </row>
    <row r="257" spans="15:73"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  <c r="BT257" s="86"/>
      <c r="BU257" s="86"/>
    </row>
    <row r="258" spans="15:73"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  <c r="BT258" s="86"/>
      <c r="BU258" s="86"/>
    </row>
    <row r="259" spans="15:73"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</row>
    <row r="260" spans="15:73"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  <c r="BT260" s="86"/>
      <c r="BU260" s="86"/>
    </row>
    <row r="261" spans="15:73"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  <c r="BT261" s="86"/>
      <c r="BU261" s="86"/>
    </row>
    <row r="262" spans="15:73"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  <c r="BT262" s="86"/>
      <c r="BU262" s="86"/>
    </row>
    <row r="263" spans="15:73"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  <c r="BT263" s="86"/>
      <c r="BU263" s="86"/>
    </row>
    <row r="264" spans="15:73"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  <c r="BT264" s="86"/>
      <c r="BU264" s="86"/>
    </row>
    <row r="265" spans="15:73"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  <c r="BT265" s="86"/>
      <c r="BU265" s="86"/>
    </row>
    <row r="266" spans="15:73"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  <c r="BT266" s="86"/>
      <c r="BU266" s="86"/>
    </row>
    <row r="267" spans="15:73"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  <c r="BT267" s="86"/>
      <c r="BU267" s="86"/>
    </row>
    <row r="268" spans="15:73"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  <c r="BT268" s="86"/>
      <c r="BU268" s="86"/>
    </row>
    <row r="269" spans="15:73"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  <c r="BT269" s="86"/>
      <c r="BU269" s="86"/>
    </row>
    <row r="270" spans="15:73"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  <c r="BT270" s="86"/>
      <c r="BU270" s="86"/>
    </row>
    <row r="271" spans="15:73"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  <c r="BT271" s="86"/>
      <c r="BU271" s="86"/>
    </row>
    <row r="272" spans="15:73"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  <c r="BT272" s="86"/>
      <c r="BU272" s="86"/>
    </row>
    <row r="273" spans="15:73"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  <c r="BT273" s="86"/>
      <c r="BU273" s="86"/>
    </row>
    <row r="274" spans="15:73"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</row>
    <row r="275" spans="15:73"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  <c r="BT275" s="86"/>
      <c r="BU275" s="86"/>
    </row>
    <row r="276" spans="15:73"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  <c r="BT276" s="86"/>
      <c r="BU276" s="86"/>
    </row>
    <row r="277" spans="15:73"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  <c r="BT277" s="86"/>
      <c r="BU277" s="86"/>
    </row>
    <row r="278" spans="15:73"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  <c r="BT278" s="86"/>
      <c r="BU278" s="86"/>
    </row>
    <row r="279" spans="15:73"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  <c r="BT279" s="86"/>
      <c r="BU279" s="86"/>
    </row>
    <row r="280" spans="15:73"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  <c r="BT280" s="86"/>
      <c r="BU280" s="86"/>
    </row>
    <row r="281" spans="15:73"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  <c r="BT281" s="86"/>
      <c r="BU281" s="86"/>
    </row>
    <row r="282" spans="15:73"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  <c r="BT282" s="86"/>
      <c r="BU282" s="86"/>
    </row>
    <row r="283" spans="15:73"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</row>
    <row r="284" spans="15:73"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</row>
    <row r="285" spans="15:73"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</row>
    <row r="286" spans="15:73"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</row>
    <row r="287" spans="15:73"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</row>
    <row r="288" spans="15:73"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</row>
    <row r="289" spans="15:73"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  <c r="BT289" s="86"/>
      <c r="BU289" s="86"/>
    </row>
    <row r="290" spans="15:73"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  <c r="BT290" s="86"/>
      <c r="BU290" s="86"/>
    </row>
    <row r="291" spans="15:73"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  <c r="BT291" s="86"/>
      <c r="BU291" s="86"/>
    </row>
    <row r="292" spans="15:73"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  <c r="BT292" s="86"/>
      <c r="BU292" s="86"/>
    </row>
    <row r="293" spans="15:73"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  <c r="BT293" s="86"/>
      <c r="BU293" s="86"/>
    </row>
    <row r="294" spans="15:73"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  <c r="BT294" s="86"/>
      <c r="BU294" s="86"/>
    </row>
    <row r="295" spans="15:73"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</row>
    <row r="296" spans="15:73"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  <c r="BT296" s="86"/>
      <c r="BU296" s="86"/>
    </row>
    <row r="297" spans="15:73"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  <c r="BT297" s="86"/>
      <c r="BU297" s="86"/>
    </row>
    <row r="298" spans="15:73"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  <c r="BT298" s="86"/>
      <c r="BU298" s="86"/>
    </row>
    <row r="299" spans="15:73"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  <c r="BT299" s="86"/>
      <c r="BU299" s="86"/>
    </row>
    <row r="300" spans="15:73"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  <c r="BT300" s="86"/>
      <c r="BU300" s="86"/>
    </row>
    <row r="301" spans="15:73"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</row>
    <row r="302" spans="15:73"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</row>
    <row r="303" spans="15:73"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  <c r="BT303" s="86"/>
      <c r="BU303" s="86"/>
    </row>
    <row r="304" spans="15:73"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  <c r="BT304" s="86"/>
      <c r="BU304" s="86"/>
    </row>
    <row r="305" spans="15:73"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  <c r="BT305" s="86"/>
      <c r="BU305" s="86"/>
    </row>
    <row r="306" spans="15:73"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</row>
    <row r="307" spans="15:73"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  <c r="BT307" s="86"/>
      <c r="BU307" s="86"/>
    </row>
    <row r="308" spans="15:73"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  <c r="BT308" s="86"/>
      <c r="BU308" s="86"/>
    </row>
    <row r="309" spans="15:73"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  <c r="BT309" s="86"/>
      <c r="BU309" s="86"/>
    </row>
    <row r="310" spans="15:73"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6"/>
      <c r="BQ310" s="86"/>
      <c r="BR310" s="86"/>
      <c r="BS310" s="86"/>
      <c r="BT310" s="86"/>
      <c r="BU310" s="86"/>
    </row>
    <row r="311" spans="15:73"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6"/>
      <c r="BQ311" s="86"/>
      <c r="BR311" s="86"/>
      <c r="BS311" s="86"/>
      <c r="BT311" s="86"/>
      <c r="BU311" s="86"/>
    </row>
    <row r="312" spans="15:73"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  <c r="BT312" s="86"/>
      <c r="BU312" s="86"/>
    </row>
    <row r="313" spans="15:73"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</row>
    <row r="314" spans="15:73"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  <c r="BT314" s="86"/>
      <c r="BU314" s="86"/>
    </row>
    <row r="315" spans="15:73"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</row>
    <row r="316" spans="15:73"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</row>
    <row r="317" spans="15:73"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  <c r="BT317" s="86"/>
      <c r="BU317" s="86"/>
    </row>
    <row r="318" spans="15:73"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</row>
    <row r="319" spans="15:73"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</row>
    <row r="320" spans="15:73"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  <c r="BT320" s="86"/>
      <c r="BU320" s="86"/>
    </row>
    <row r="321" spans="15:73"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  <c r="BT321" s="86"/>
      <c r="BU321" s="86"/>
    </row>
    <row r="322" spans="15:73"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</row>
    <row r="323" spans="15:73"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</row>
    <row r="324" spans="15:73"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</row>
    <row r="325" spans="15:73"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</row>
    <row r="326" spans="15:73"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</row>
    <row r="327" spans="15:73"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  <c r="BT327" s="86"/>
      <c r="BU327" s="86"/>
    </row>
    <row r="328" spans="15:73"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  <c r="BT328" s="86"/>
      <c r="BU328" s="86"/>
    </row>
    <row r="329" spans="15:73"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  <c r="BT329" s="86"/>
      <c r="BU329" s="86"/>
    </row>
    <row r="330" spans="15:73"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  <c r="BT330" s="86"/>
      <c r="BU330" s="86"/>
    </row>
    <row r="331" spans="15:73"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  <c r="BT331" s="86"/>
      <c r="BU331" s="86"/>
    </row>
    <row r="332" spans="15:73"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  <c r="BT332" s="86"/>
      <c r="BU332" s="86"/>
    </row>
    <row r="333" spans="15:73"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  <c r="BT333" s="86"/>
      <c r="BU333" s="86"/>
    </row>
    <row r="334" spans="15:73"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  <c r="BT334" s="86"/>
      <c r="BU334" s="86"/>
    </row>
    <row r="335" spans="15:73"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  <c r="BT335" s="86"/>
      <c r="BU335" s="86"/>
    </row>
    <row r="336" spans="15:73"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  <c r="BT336" s="86"/>
      <c r="BU336" s="86"/>
    </row>
    <row r="337" spans="15:73"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  <c r="BT337" s="86"/>
      <c r="BU337" s="86"/>
    </row>
    <row r="338" spans="15:73"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  <c r="BT338" s="86"/>
      <c r="BU338" s="86"/>
    </row>
    <row r="339" spans="15:73"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  <c r="BT339" s="86"/>
      <c r="BU339" s="86"/>
    </row>
    <row r="340" spans="15:73"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  <c r="BT340" s="86"/>
      <c r="BU340" s="86"/>
    </row>
    <row r="341" spans="15:73"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  <c r="BT341" s="86"/>
      <c r="BU341" s="86"/>
    </row>
    <row r="342" spans="15:73"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  <c r="BT342" s="86"/>
      <c r="BU342" s="86"/>
    </row>
    <row r="343" spans="15:73"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  <c r="BT343" s="86"/>
      <c r="BU343" s="86"/>
    </row>
    <row r="344" spans="15:73"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  <c r="BT344" s="86"/>
      <c r="BU344" s="86"/>
    </row>
    <row r="345" spans="15:73"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  <c r="BT345" s="86"/>
      <c r="BU345" s="86"/>
    </row>
    <row r="346" spans="15:73"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  <c r="BT346" s="86"/>
      <c r="BU346" s="86"/>
    </row>
    <row r="347" spans="15:73"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  <c r="AV347" s="86"/>
      <c r="AW347" s="86"/>
      <c r="AX347" s="86"/>
      <c r="AY347" s="86"/>
      <c r="AZ347" s="86"/>
      <c r="BA347" s="86"/>
      <c r="BB347" s="86"/>
      <c r="BC347" s="86"/>
      <c r="BD347" s="86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6"/>
      <c r="BQ347" s="86"/>
      <c r="BR347" s="86"/>
      <c r="BS347" s="86"/>
      <c r="BT347" s="86"/>
      <c r="BU347" s="86"/>
    </row>
    <row r="348" spans="15:73"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  <c r="AV348" s="86"/>
      <c r="AW348" s="86"/>
      <c r="AX348" s="86"/>
      <c r="AY348" s="86"/>
      <c r="AZ348" s="86"/>
      <c r="BA348" s="86"/>
      <c r="BB348" s="86"/>
      <c r="BC348" s="86"/>
      <c r="BD348" s="86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6"/>
      <c r="BQ348" s="86"/>
      <c r="BR348" s="86"/>
      <c r="BS348" s="86"/>
      <c r="BT348" s="86"/>
      <c r="BU348" s="86"/>
    </row>
    <row r="349" spans="15:73"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  <c r="AV349" s="86"/>
      <c r="AW349" s="86"/>
      <c r="AX349" s="86"/>
      <c r="AY349" s="86"/>
      <c r="AZ349" s="86"/>
      <c r="BA349" s="86"/>
      <c r="BB349" s="86"/>
      <c r="BC349" s="86"/>
      <c r="BD349" s="86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6"/>
      <c r="BQ349" s="86"/>
      <c r="BR349" s="86"/>
      <c r="BS349" s="86"/>
      <c r="BT349" s="86"/>
      <c r="BU349" s="86"/>
    </row>
    <row r="350" spans="15:73"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  <c r="BT350" s="86"/>
      <c r="BU350" s="86"/>
    </row>
    <row r="351" spans="15:73"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  <c r="AV351" s="86"/>
      <c r="AW351" s="86"/>
      <c r="AX351" s="86"/>
      <c r="AY351" s="86"/>
      <c r="AZ351" s="86"/>
      <c r="BA351" s="86"/>
      <c r="BB351" s="86"/>
      <c r="BC351" s="86"/>
      <c r="BD351" s="86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6"/>
      <c r="BQ351" s="86"/>
      <c r="BR351" s="86"/>
      <c r="BS351" s="86"/>
      <c r="BT351" s="86"/>
      <c r="BU351" s="86"/>
    </row>
    <row r="352" spans="15:73"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  <c r="AV352" s="86"/>
      <c r="AW352" s="86"/>
      <c r="AX352" s="86"/>
      <c r="AY352" s="86"/>
      <c r="AZ352" s="86"/>
      <c r="BA352" s="86"/>
      <c r="BB352" s="86"/>
      <c r="BC352" s="86"/>
      <c r="BD352" s="86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6"/>
      <c r="BQ352" s="86"/>
      <c r="BR352" s="86"/>
      <c r="BS352" s="86"/>
      <c r="BT352" s="86"/>
      <c r="BU352" s="86"/>
    </row>
    <row r="353" spans="15:73"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  <c r="AV353" s="86"/>
      <c r="AW353" s="86"/>
      <c r="AX353" s="86"/>
      <c r="AY353" s="86"/>
      <c r="AZ353" s="86"/>
      <c r="BA353" s="86"/>
      <c r="BB353" s="86"/>
      <c r="BC353" s="86"/>
      <c r="BD353" s="86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6"/>
      <c r="BQ353" s="86"/>
      <c r="BR353" s="86"/>
      <c r="BS353" s="86"/>
      <c r="BT353" s="86"/>
      <c r="BU353" s="86"/>
    </row>
    <row r="354" spans="15:73"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  <c r="AV354" s="86"/>
      <c r="AW354" s="86"/>
      <c r="AX354" s="86"/>
      <c r="AY354" s="86"/>
      <c r="AZ354" s="86"/>
      <c r="BA354" s="86"/>
      <c r="BB354" s="86"/>
      <c r="BC354" s="86"/>
      <c r="BD354" s="86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6"/>
      <c r="BQ354" s="86"/>
      <c r="BR354" s="86"/>
      <c r="BS354" s="86"/>
      <c r="BT354" s="86"/>
      <c r="BU354" s="86"/>
    </row>
    <row r="355" spans="15:73"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  <c r="AV355" s="86"/>
      <c r="AW355" s="86"/>
      <c r="AX355" s="86"/>
      <c r="AY355" s="86"/>
      <c r="AZ355" s="86"/>
      <c r="BA355" s="86"/>
      <c r="BB355" s="86"/>
      <c r="BC355" s="86"/>
      <c r="BD355" s="86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6"/>
      <c r="BQ355" s="86"/>
      <c r="BR355" s="86"/>
      <c r="BS355" s="86"/>
      <c r="BT355" s="86"/>
      <c r="BU355" s="86"/>
    </row>
    <row r="356" spans="15:73"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  <c r="AV356" s="86"/>
      <c r="AW356" s="86"/>
      <c r="AX356" s="86"/>
      <c r="AY356" s="86"/>
      <c r="AZ356" s="86"/>
      <c r="BA356" s="86"/>
      <c r="BB356" s="86"/>
      <c r="BC356" s="86"/>
      <c r="BD356" s="86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6"/>
      <c r="BQ356" s="86"/>
      <c r="BR356" s="86"/>
      <c r="BS356" s="86"/>
      <c r="BT356" s="86"/>
      <c r="BU356" s="86"/>
    </row>
    <row r="357" spans="15:73"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  <c r="AV357" s="86"/>
      <c r="AW357" s="86"/>
      <c r="AX357" s="86"/>
      <c r="AY357" s="86"/>
      <c r="AZ357" s="86"/>
      <c r="BA357" s="86"/>
      <c r="BB357" s="86"/>
      <c r="BC357" s="86"/>
      <c r="BD357" s="86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6"/>
      <c r="BQ357" s="86"/>
      <c r="BR357" s="86"/>
      <c r="BS357" s="86"/>
      <c r="BT357" s="86"/>
      <c r="BU357" s="86"/>
    </row>
    <row r="358" spans="15:73"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6"/>
      <c r="BQ358" s="86"/>
      <c r="BR358" s="86"/>
      <c r="BS358" s="86"/>
      <c r="BT358" s="86"/>
      <c r="BU358" s="86"/>
    </row>
    <row r="359" spans="15:73"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  <c r="AV359" s="86"/>
      <c r="AW359" s="86"/>
      <c r="AX359" s="86"/>
      <c r="AY359" s="86"/>
      <c r="AZ359" s="86"/>
      <c r="BA359" s="86"/>
      <c r="BB359" s="86"/>
      <c r="BC359" s="86"/>
      <c r="BD359" s="86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6"/>
      <c r="BQ359" s="86"/>
      <c r="BR359" s="86"/>
      <c r="BS359" s="86"/>
      <c r="BT359" s="86"/>
      <c r="BU359" s="86"/>
    </row>
    <row r="360" spans="15:73"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  <c r="AV360" s="86"/>
      <c r="AW360" s="86"/>
      <c r="AX360" s="86"/>
      <c r="AY360" s="86"/>
      <c r="AZ360" s="86"/>
      <c r="BA360" s="86"/>
      <c r="BB360" s="86"/>
      <c r="BC360" s="86"/>
      <c r="BD360" s="86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6"/>
      <c r="BQ360" s="86"/>
      <c r="BR360" s="86"/>
      <c r="BS360" s="86"/>
      <c r="BT360" s="86"/>
      <c r="BU360" s="86"/>
    </row>
    <row r="361" spans="15:73"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  <c r="AV361" s="86"/>
      <c r="AW361" s="86"/>
      <c r="AX361" s="86"/>
      <c r="AY361" s="86"/>
      <c r="AZ361" s="86"/>
      <c r="BA361" s="86"/>
      <c r="BB361" s="86"/>
      <c r="BC361" s="86"/>
      <c r="BD361" s="86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6"/>
      <c r="BQ361" s="86"/>
      <c r="BR361" s="86"/>
      <c r="BS361" s="86"/>
      <c r="BT361" s="86"/>
      <c r="BU361" s="86"/>
    </row>
    <row r="362" spans="15:73"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  <c r="AV362" s="86"/>
      <c r="AW362" s="86"/>
      <c r="AX362" s="86"/>
      <c r="AY362" s="86"/>
      <c r="AZ362" s="86"/>
      <c r="BA362" s="86"/>
      <c r="BB362" s="86"/>
      <c r="BC362" s="86"/>
      <c r="BD362" s="86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6"/>
      <c r="BQ362" s="86"/>
      <c r="BR362" s="86"/>
      <c r="BS362" s="86"/>
      <c r="BT362" s="86"/>
      <c r="BU362" s="86"/>
    </row>
    <row r="363" spans="15:73"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  <c r="AV363" s="86"/>
      <c r="AW363" s="86"/>
      <c r="AX363" s="86"/>
      <c r="AY363" s="86"/>
      <c r="AZ363" s="86"/>
      <c r="BA363" s="86"/>
      <c r="BB363" s="86"/>
      <c r="BC363" s="86"/>
      <c r="BD363" s="86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6"/>
      <c r="BQ363" s="86"/>
      <c r="BR363" s="86"/>
      <c r="BS363" s="86"/>
      <c r="BT363" s="86"/>
      <c r="BU363" s="86"/>
    </row>
    <row r="364" spans="15:73"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  <c r="AV364" s="86"/>
      <c r="AW364" s="86"/>
      <c r="AX364" s="86"/>
      <c r="AY364" s="86"/>
      <c r="AZ364" s="86"/>
      <c r="BA364" s="86"/>
      <c r="BB364" s="86"/>
      <c r="BC364" s="86"/>
      <c r="BD364" s="86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6"/>
      <c r="BQ364" s="86"/>
      <c r="BR364" s="86"/>
      <c r="BS364" s="86"/>
      <c r="BT364" s="86"/>
      <c r="BU364" s="86"/>
    </row>
    <row r="365" spans="15:73"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  <c r="AV365" s="86"/>
      <c r="AW365" s="86"/>
      <c r="AX365" s="86"/>
      <c r="AY365" s="86"/>
      <c r="AZ365" s="86"/>
      <c r="BA365" s="86"/>
      <c r="BB365" s="86"/>
      <c r="BC365" s="86"/>
      <c r="BD365" s="86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6"/>
      <c r="BQ365" s="86"/>
      <c r="BR365" s="86"/>
      <c r="BS365" s="86"/>
      <c r="BT365" s="86"/>
      <c r="BU365" s="86"/>
    </row>
    <row r="366" spans="15:73"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  <c r="AV366" s="86"/>
      <c r="AW366" s="86"/>
      <c r="AX366" s="86"/>
      <c r="AY366" s="86"/>
      <c r="AZ366" s="86"/>
      <c r="BA366" s="86"/>
      <c r="BB366" s="86"/>
      <c r="BC366" s="86"/>
      <c r="BD366" s="86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6"/>
      <c r="BQ366" s="86"/>
      <c r="BR366" s="86"/>
      <c r="BS366" s="86"/>
      <c r="BT366" s="86"/>
      <c r="BU366" s="86"/>
    </row>
    <row r="367" spans="15:73"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  <c r="AV367" s="86"/>
      <c r="AW367" s="86"/>
      <c r="AX367" s="86"/>
      <c r="AY367" s="86"/>
      <c r="AZ367" s="86"/>
      <c r="BA367" s="86"/>
      <c r="BB367" s="86"/>
      <c r="BC367" s="86"/>
      <c r="BD367" s="86"/>
      <c r="BE367" s="86"/>
      <c r="BF367" s="86"/>
      <c r="BG367" s="86"/>
      <c r="BH367" s="86"/>
      <c r="BI367" s="86"/>
      <c r="BJ367" s="86"/>
      <c r="BK367" s="86"/>
      <c r="BL367" s="86"/>
      <c r="BM367" s="86"/>
      <c r="BN367" s="86"/>
      <c r="BO367" s="86"/>
      <c r="BP367" s="86"/>
      <c r="BQ367" s="86"/>
      <c r="BR367" s="86"/>
      <c r="BS367" s="86"/>
      <c r="BT367" s="86"/>
      <c r="BU367" s="86"/>
    </row>
    <row r="368" spans="15:73"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  <c r="AV368" s="86"/>
      <c r="AW368" s="86"/>
      <c r="AX368" s="86"/>
      <c r="AY368" s="86"/>
      <c r="AZ368" s="86"/>
      <c r="BA368" s="86"/>
      <c r="BB368" s="86"/>
      <c r="BC368" s="86"/>
      <c r="BD368" s="86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6"/>
      <c r="BQ368" s="86"/>
      <c r="BR368" s="86"/>
      <c r="BS368" s="86"/>
      <c r="BT368" s="86"/>
      <c r="BU368" s="86"/>
    </row>
    <row r="369" spans="15:73"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  <c r="AV369" s="86"/>
      <c r="AW369" s="86"/>
      <c r="AX369" s="86"/>
      <c r="AY369" s="86"/>
      <c r="AZ369" s="86"/>
      <c r="BA369" s="86"/>
      <c r="BB369" s="86"/>
      <c r="BC369" s="86"/>
      <c r="BD369" s="86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6"/>
      <c r="BQ369" s="86"/>
      <c r="BR369" s="86"/>
      <c r="BS369" s="86"/>
      <c r="BT369" s="86"/>
      <c r="BU369" s="86"/>
    </row>
    <row r="370" spans="15:73"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  <c r="AV370" s="86"/>
      <c r="AW370" s="86"/>
      <c r="AX370" s="86"/>
      <c r="AY370" s="86"/>
      <c r="AZ370" s="86"/>
      <c r="BA370" s="86"/>
      <c r="BB370" s="86"/>
      <c r="BC370" s="86"/>
      <c r="BD370" s="86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6"/>
      <c r="BQ370" s="86"/>
      <c r="BR370" s="86"/>
      <c r="BS370" s="86"/>
      <c r="BT370" s="86"/>
      <c r="BU370" s="86"/>
    </row>
    <row r="371" spans="15:73"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  <c r="AV371" s="86"/>
      <c r="AW371" s="86"/>
      <c r="AX371" s="86"/>
      <c r="AY371" s="86"/>
      <c r="AZ371" s="86"/>
      <c r="BA371" s="86"/>
      <c r="BB371" s="86"/>
      <c r="BC371" s="86"/>
      <c r="BD371" s="86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6"/>
      <c r="BQ371" s="86"/>
      <c r="BR371" s="86"/>
      <c r="BS371" s="86"/>
      <c r="BT371" s="86"/>
      <c r="BU371" s="86"/>
    </row>
    <row r="372" spans="15:73"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  <c r="AV372" s="86"/>
      <c r="AW372" s="86"/>
      <c r="AX372" s="86"/>
      <c r="AY372" s="86"/>
      <c r="AZ372" s="86"/>
      <c r="BA372" s="86"/>
      <c r="BB372" s="86"/>
      <c r="BC372" s="86"/>
      <c r="BD372" s="86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6"/>
      <c r="BQ372" s="86"/>
      <c r="BR372" s="86"/>
      <c r="BS372" s="86"/>
      <c r="BT372" s="86"/>
      <c r="BU372" s="86"/>
    </row>
    <row r="373" spans="15:73"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  <c r="AV373" s="86"/>
      <c r="AW373" s="86"/>
      <c r="AX373" s="86"/>
      <c r="AY373" s="86"/>
      <c r="AZ373" s="86"/>
      <c r="BA373" s="86"/>
      <c r="BB373" s="86"/>
      <c r="BC373" s="86"/>
      <c r="BD373" s="86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6"/>
      <c r="BQ373" s="86"/>
      <c r="BR373" s="86"/>
      <c r="BS373" s="86"/>
      <c r="BT373" s="86"/>
      <c r="BU373" s="86"/>
    </row>
    <row r="374" spans="15:73"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  <c r="AV374" s="86"/>
      <c r="AW374" s="86"/>
      <c r="AX374" s="86"/>
      <c r="AY374" s="86"/>
      <c r="AZ374" s="86"/>
      <c r="BA374" s="86"/>
      <c r="BB374" s="86"/>
      <c r="BC374" s="86"/>
      <c r="BD374" s="86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6"/>
      <c r="BQ374" s="86"/>
      <c r="BR374" s="86"/>
      <c r="BS374" s="86"/>
      <c r="BT374" s="86"/>
      <c r="BU374" s="86"/>
    </row>
    <row r="375" spans="15:73"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  <c r="AV375" s="86"/>
      <c r="AW375" s="86"/>
      <c r="AX375" s="86"/>
      <c r="AY375" s="86"/>
      <c r="AZ375" s="86"/>
      <c r="BA375" s="86"/>
      <c r="BB375" s="86"/>
      <c r="BC375" s="86"/>
      <c r="BD375" s="86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6"/>
      <c r="BQ375" s="86"/>
      <c r="BR375" s="86"/>
      <c r="BS375" s="86"/>
      <c r="BT375" s="86"/>
      <c r="BU375" s="86"/>
    </row>
    <row r="376" spans="15:73"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  <c r="AV376" s="86"/>
      <c r="AW376" s="86"/>
      <c r="AX376" s="86"/>
      <c r="AY376" s="86"/>
      <c r="AZ376" s="86"/>
      <c r="BA376" s="86"/>
      <c r="BB376" s="86"/>
      <c r="BC376" s="86"/>
      <c r="BD376" s="86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6"/>
      <c r="BQ376" s="86"/>
      <c r="BR376" s="86"/>
      <c r="BS376" s="86"/>
      <c r="BT376" s="86"/>
      <c r="BU376" s="86"/>
    </row>
    <row r="377" spans="15:73"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  <c r="AV377" s="86"/>
      <c r="AW377" s="86"/>
      <c r="AX377" s="86"/>
      <c r="AY377" s="86"/>
      <c r="AZ377" s="86"/>
      <c r="BA377" s="86"/>
      <c r="BB377" s="86"/>
      <c r="BC377" s="86"/>
      <c r="BD377" s="86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6"/>
      <c r="BQ377" s="86"/>
      <c r="BR377" s="86"/>
      <c r="BS377" s="86"/>
      <c r="BT377" s="86"/>
      <c r="BU377" s="86"/>
    </row>
    <row r="378" spans="15:73"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  <c r="AV378" s="86"/>
      <c r="AW378" s="86"/>
      <c r="AX378" s="86"/>
      <c r="AY378" s="86"/>
      <c r="AZ378" s="86"/>
      <c r="BA378" s="86"/>
      <c r="BB378" s="86"/>
      <c r="BC378" s="86"/>
      <c r="BD378" s="86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6"/>
      <c r="BQ378" s="86"/>
      <c r="BR378" s="86"/>
      <c r="BS378" s="86"/>
      <c r="BT378" s="86"/>
      <c r="BU378" s="86"/>
    </row>
    <row r="379" spans="15:73"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  <c r="AV379" s="86"/>
      <c r="AW379" s="86"/>
      <c r="AX379" s="86"/>
      <c r="AY379" s="86"/>
      <c r="AZ379" s="86"/>
      <c r="BA379" s="86"/>
      <c r="BB379" s="86"/>
      <c r="BC379" s="86"/>
      <c r="BD379" s="86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6"/>
      <c r="BQ379" s="86"/>
      <c r="BR379" s="86"/>
      <c r="BS379" s="86"/>
      <c r="BT379" s="86"/>
      <c r="BU379" s="86"/>
    </row>
    <row r="380" spans="15:73"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  <c r="AV380" s="86"/>
      <c r="AW380" s="86"/>
      <c r="AX380" s="86"/>
      <c r="AY380" s="86"/>
      <c r="AZ380" s="86"/>
      <c r="BA380" s="86"/>
      <c r="BB380" s="86"/>
      <c r="BC380" s="86"/>
      <c r="BD380" s="86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6"/>
      <c r="BQ380" s="86"/>
      <c r="BR380" s="86"/>
      <c r="BS380" s="86"/>
      <c r="BT380" s="86"/>
      <c r="BU380" s="86"/>
    </row>
    <row r="381" spans="15:73"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  <c r="AV381" s="86"/>
      <c r="AW381" s="86"/>
      <c r="AX381" s="86"/>
      <c r="AY381" s="86"/>
      <c r="AZ381" s="86"/>
      <c r="BA381" s="86"/>
      <c r="BB381" s="86"/>
      <c r="BC381" s="86"/>
      <c r="BD381" s="86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6"/>
      <c r="BQ381" s="86"/>
      <c r="BR381" s="86"/>
      <c r="BS381" s="86"/>
      <c r="BT381" s="86"/>
      <c r="BU381" s="86"/>
    </row>
    <row r="382" spans="15:73"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  <c r="AV382" s="86"/>
      <c r="AW382" s="86"/>
      <c r="AX382" s="86"/>
      <c r="AY382" s="86"/>
      <c r="AZ382" s="86"/>
      <c r="BA382" s="86"/>
      <c r="BB382" s="86"/>
      <c r="BC382" s="86"/>
      <c r="BD382" s="86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6"/>
      <c r="BQ382" s="86"/>
      <c r="BR382" s="86"/>
      <c r="BS382" s="86"/>
      <c r="BT382" s="86"/>
      <c r="BU382" s="86"/>
    </row>
    <row r="383" spans="15:73"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  <c r="AV383" s="86"/>
      <c r="AW383" s="86"/>
      <c r="AX383" s="86"/>
      <c r="AY383" s="86"/>
      <c r="AZ383" s="86"/>
      <c r="BA383" s="86"/>
      <c r="BB383" s="86"/>
      <c r="BC383" s="86"/>
      <c r="BD383" s="86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6"/>
      <c r="BQ383" s="86"/>
      <c r="BR383" s="86"/>
      <c r="BS383" s="86"/>
      <c r="BT383" s="86"/>
      <c r="BU383" s="86"/>
    </row>
    <row r="384" spans="15:73"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  <c r="AV384" s="86"/>
      <c r="AW384" s="86"/>
      <c r="AX384" s="86"/>
      <c r="AY384" s="86"/>
      <c r="AZ384" s="86"/>
      <c r="BA384" s="86"/>
      <c r="BB384" s="86"/>
      <c r="BC384" s="86"/>
      <c r="BD384" s="86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6"/>
      <c r="BQ384" s="86"/>
      <c r="BR384" s="86"/>
      <c r="BS384" s="86"/>
      <c r="BT384" s="86"/>
      <c r="BU384" s="86"/>
    </row>
    <row r="385" spans="15:73"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  <c r="AV385" s="86"/>
      <c r="AW385" s="86"/>
      <c r="AX385" s="86"/>
      <c r="AY385" s="86"/>
      <c r="AZ385" s="86"/>
      <c r="BA385" s="86"/>
      <c r="BB385" s="86"/>
      <c r="BC385" s="86"/>
      <c r="BD385" s="86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6"/>
      <c r="BQ385" s="86"/>
      <c r="BR385" s="86"/>
      <c r="BS385" s="86"/>
      <c r="BT385" s="86"/>
      <c r="BU385" s="86"/>
    </row>
    <row r="386" spans="15:73"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  <c r="AV386" s="86"/>
      <c r="AW386" s="86"/>
      <c r="AX386" s="86"/>
      <c r="AY386" s="86"/>
      <c r="AZ386" s="86"/>
      <c r="BA386" s="86"/>
      <c r="BB386" s="86"/>
      <c r="BC386" s="86"/>
      <c r="BD386" s="86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6"/>
      <c r="BQ386" s="86"/>
      <c r="BR386" s="86"/>
      <c r="BS386" s="86"/>
      <c r="BT386" s="86"/>
      <c r="BU386" s="86"/>
    </row>
    <row r="387" spans="15:73"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  <c r="AV387" s="86"/>
      <c r="AW387" s="86"/>
      <c r="AX387" s="86"/>
      <c r="AY387" s="86"/>
      <c r="AZ387" s="86"/>
      <c r="BA387" s="86"/>
      <c r="BB387" s="86"/>
      <c r="BC387" s="86"/>
      <c r="BD387" s="86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6"/>
      <c r="BQ387" s="86"/>
      <c r="BR387" s="86"/>
      <c r="BS387" s="86"/>
      <c r="BT387" s="86"/>
      <c r="BU387" s="86"/>
    </row>
    <row r="388" spans="15:73"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  <c r="AV388" s="86"/>
      <c r="AW388" s="86"/>
      <c r="AX388" s="86"/>
      <c r="AY388" s="86"/>
      <c r="AZ388" s="86"/>
      <c r="BA388" s="86"/>
      <c r="BB388" s="86"/>
      <c r="BC388" s="86"/>
      <c r="BD388" s="86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6"/>
      <c r="BQ388" s="86"/>
      <c r="BR388" s="86"/>
      <c r="BS388" s="86"/>
      <c r="BT388" s="86"/>
      <c r="BU388" s="86"/>
    </row>
    <row r="389" spans="15:73"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  <c r="AV389" s="86"/>
      <c r="AW389" s="86"/>
      <c r="AX389" s="86"/>
      <c r="AY389" s="86"/>
      <c r="AZ389" s="86"/>
      <c r="BA389" s="86"/>
      <c r="BB389" s="86"/>
      <c r="BC389" s="86"/>
      <c r="BD389" s="86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6"/>
      <c r="BQ389" s="86"/>
      <c r="BR389" s="86"/>
      <c r="BS389" s="86"/>
      <c r="BT389" s="86"/>
      <c r="BU389" s="86"/>
    </row>
    <row r="390" spans="15:73"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  <c r="AV390" s="86"/>
      <c r="AW390" s="86"/>
      <c r="AX390" s="86"/>
      <c r="AY390" s="86"/>
      <c r="AZ390" s="86"/>
      <c r="BA390" s="86"/>
      <c r="BB390" s="86"/>
      <c r="BC390" s="86"/>
      <c r="BD390" s="86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6"/>
      <c r="BQ390" s="86"/>
      <c r="BR390" s="86"/>
      <c r="BS390" s="86"/>
      <c r="BT390" s="86"/>
      <c r="BU390" s="86"/>
    </row>
    <row r="391" spans="15:73"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  <c r="AV391" s="86"/>
      <c r="AW391" s="86"/>
      <c r="AX391" s="86"/>
      <c r="AY391" s="86"/>
      <c r="AZ391" s="86"/>
      <c r="BA391" s="86"/>
      <c r="BB391" s="86"/>
      <c r="BC391" s="86"/>
      <c r="BD391" s="86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6"/>
      <c r="BQ391" s="86"/>
      <c r="BR391" s="86"/>
      <c r="BS391" s="86"/>
      <c r="BT391" s="86"/>
      <c r="BU391" s="86"/>
    </row>
    <row r="392" spans="15:73"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  <c r="AV392" s="86"/>
      <c r="AW392" s="86"/>
      <c r="AX392" s="86"/>
      <c r="AY392" s="86"/>
      <c r="AZ392" s="86"/>
      <c r="BA392" s="86"/>
      <c r="BB392" s="86"/>
      <c r="BC392" s="86"/>
      <c r="BD392" s="86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6"/>
      <c r="BQ392" s="86"/>
      <c r="BR392" s="86"/>
      <c r="BS392" s="86"/>
      <c r="BT392" s="86"/>
      <c r="BU392" s="86"/>
    </row>
    <row r="393" spans="15:73"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6"/>
      <c r="BQ393" s="86"/>
      <c r="BR393" s="86"/>
      <c r="BS393" s="86"/>
      <c r="BT393" s="86"/>
      <c r="BU393" s="86"/>
    </row>
    <row r="394" spans="15:73"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  <c r="AV394" s="86"/>
      <c r="AW394" s="86"/>
      <c r="AX394" s="86"/>
      <c r="AY394" s="86"/>
      <c r="AZ394" s="86"/>
      <c r="BA394" s="86"/>
      <c r="BB394" s="86"/>
      <c r="BC394" s="86"/>
      <c r="BD394" s="86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6"/>
      <c r="BQ394" s="86"/>
      <c r="BR394" s="86"/>
      <c r="BS394" s="86"/>
      <c r="BT394" s="86"/>
      <c r="BU394" s="86"/>
    </row>
    <row r="395" spans="15:73"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  <c r="AV395" s="86"/>
      <c r="AW395" s="86"/>
      <c r="AX395" s="86"/>
      <c r="AY395" s="86"/>
      <c r="AZ395" s="86"/>
      <c r="BA395" s="86"/>
      <c r="BB395" s="86"/>
      <c r="BC395" s="86"/>
      <c r="BD395" s="86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6"/>
      <c r="BQ395" s="86"/>
      <c r="BR395" s="86"/>
      <c r="BS395" s="86"/>
      <c r="BT395" s="86"/>
      <c r="BU395" s="86"/>
    </row>
    <row r="396" spans="15:73"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  <c r="AV396" s="86"/>
      <c r="AW396" s="86"/>
      <c r="AX396" s="86"/>
      <c r="AY396" s="86"/>
      <c r="AZ396" s="86"/>
      <c r="BA396" s="86"/>
      <c r="BB396" s="86"/>
      <c r="BC396" s="86"/>
      <c r="BD396" s="86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6"/>
      <c r="BQ396" s="86"/>
      <c r="BR396" s="86"/>
      <c r="BS396" s="86"/>
      <c r="BT396" s="86"/>
      <c r="BU396" s="86"/>
    </row>
    <row r="397" spans="15:73"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  <c r="AV397" s="86"/>
      <c r="AW397" s="86"/>
      <c r="AX397" s="86"/>
      <c r="AY397" s="86"/>
      <c r="AZ397" s="86"/>
      <c r="BA397" s="86"/>
      <c r="BB397" s="86"/>
      <c r="BC397" s="86"/>
      <c r="BD397" s="86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6"/>
      <c r="BQ397" s="86"/>
      <c r="BR397" s="86"/>
      <c r="BS397" s="86"/>
      <c r="BT397" s="86"/>
      <c r="BU397" s="86"/>
    </row>
    <row r="398" spans="15:73"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  <c r="AV398" s="86"/>
      <c r="AW398" s="86"/>
      <c r="AX398" s="86"/>
      <c r="AY398" s="86"/>
      <c r="AZ398" s="86"/>
      <c r="BA398" s="86"/>
      <c r="BB398" s="86"/>
      <c r="BC398" s="86"/>
      <c r="BD398" s="86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6"/>
      <c r="BQ398" s="86"/>
      <c r="BR398" s="86"/>
      <c r="BS398" s="86"/>
      <c r="BT398" s="86"/>
      <c r="BU398" s="86"/>
    </row>
    <row r="399" spans="15:73"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  <c r="AV399" s="86"/>
      <c r="AW399" s="86"/>
      <c r="AX399" s="86"/>
      <c r="AY399" s="86"/>
      <c r="AZ399" s="86"/>
      <c r="BA399" s="86"/>
      <c r="BB399" s="86"/>
      <c r="BC399" s="86"/>
      <c r="BD399" s="86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6"/>
      <c r="BQ399" s="86"/>
      <c r="BR399" s="86"/>
      <c r="BS399" s="86"/>
      <c r="BT399" s="86"/>
      <c r="BU399" s="86"/>
    </row>
    <row r="400" spans="15:73"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  <c r="AV400" s="86"/>
      <c r="AW400" s="86"/>
      <c r="AX400" s="86"/>
      <c r="AY400" s="86"/>
      <c r="AZ400" s="86"/>
      <c r="BA400" s="86"/>
      <c r="BB400" s="86"/>
      <c r="BC400" s="86"/>
      <c r="BD400" s="86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6"/>
      <c r="BQ400" s="86"/>
      <c r="BR400" s="86"/>
      <c r="BS400" s="86"/>
      <c r="BT400" s="86"/>
      <c r="BU400" s="86"/>
    </row>
    <row r="401" spans="15:73"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  <c r="AV401" s="86"/>
      <c r="AW401" s="86"/>
      <c r="AX401" s="86"/>
      <c r="AY401" s="86"/>
      <c r="AZ401" s="86"/>
      <c r="BA401" s="86"/>
      <c r="BB401" s="86"/>
      <c r="BC401" s="86"/>
      <c r="BD401" s="86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  <c r="BT401" s="86"/>
      <c r="BU401" s="86"/>
    </row>
    <row r="402" spans="15:73"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  <c r="AV402" s="86"/>
      <c r="AW402" s="86"/>
      <c r="AX402" s="86"/>
      <c r="AY402" s="86"/>
      <c r="AZ402" s="86"/>
      <c r="BA402" s="86"/>
      <c r="BB402" s="86"/>
      <c r="BC402" s="86"/>
      <c r="BD402" s="86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  <c r="BT402" s="86"/>
      <c r="BU402" s="86"/>
    </row>
    <row r="403" spans="15:73"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  <c r="AV403" s="86"/>
      <c r="AW403" s="86"/>
      <c r="AX403" s="86"/>
      <c r="AY403" s="86"/>
      <c r="AZ403" s="86"/>
      <c r="BA403" s="86"/>
      <c r="BB403" s="86"/>
      <c r="BC403" s="86"/>
      <c r="BD403" s="86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  <c r="BT403" s="86"/>
      <c r="BU403" s="86"/>
    </row>
    <row r="404" spans="15:73"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  <c r="AV404" s="86"/>
      <c r="AW404" s="86"/>
      <c r="AX404" s="86"/>
      <c r="AY404" s="86"/>
      <c r="AZ404" s="86"/>
      <c r="BA404" s="86"/>
      <c r="BB404" s="86"/>
      <c r="BC404" s="86"/>
      <c r="BD404" s="86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  <c r="BT404" s="86"/>
      <c r="BU404" s="86"/>
    </row>
    <row r="405" spans="15:73"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  <c r="AV405" s="86"/>
      <c r="AW405" s="86"/>
      <c r="AX405" s="86"/>
      <c r="AY405" s="86"/>
      <c r="AZ405" s="86"/>
      <c r="BA405" s="86"/>
      <c r="BB405" s="86"/>
      <c r="BC405" s="86"/>
      <c r="BD405" s="86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  <c r="BT405" s="86"/>
      <c r="BU405" s="86"/>
    </row>
    <row r="406" spans="15:73"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  <c r="AV406" s="86"/>
      <c r="AW406" s="86"/>
      <c r="AX406" s="86"/>
      <c r="AY406" s="86"/>
      <c r="AZ406" s="86"/>
      <c r="BA406" s="86"/>
      <c r="BB406" s="86"/>
      <c r="BC406" s="86"/>
      <c r="BD406" s="86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  <c r="BT406" s="86"/>
      <c r="BU406" s="86"/>
    </row>
    <row r="407" spans="15:73"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  <c r="AV407" s="86"/>
      <c r="AW407" s="86"/>
      <c r="AX407" s="86"/>
      <c r="AY407" s="86"/>
      <c r="AZ407" s="86"/>
      <c r="BA407" s="86"/>
      <c r="BB407" s="86"/>
      <c r="BC407" s="86"/>
      <c r="BD407" s="86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  <c r="BT407" s="86"/>
      <c r="BU407" s="86"/>
    </row>
    <row r="408" spans="15:73"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  <c r="AV408" s="86"/>
      <c r="AW408" s="86"/>
      <c r="AX408" s="86"/>
      <c r="AY408" s="86"/>
      <c r="AZ408" s="86"/>
      <c r="BA408" s="86"/>
      <c r="BB408" s="86"/>
      <c r="BC408" s="86"/>
      <c r="BD408" s="86"/>
      <c r="BE408" s="86"/>
      <c r="BF408" s="86"/>
      <c r="BG408" s="86"/>
      <c r="BH408" s="86"/>
      <c r="BI408" s="86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  <c r="BT408" s="86"/>
      <c r="BU408" s="86"/>
    </row>
    <row r="409" spans="15:73"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  <c r="AV409" s="86"/>
      <c r="AW409" s="86"/>
      <c r="AX409" s="86"/>
      <c r="AY409" s="86"/>
      <c r="AZ409" s="86"/>
      <c r="BA409" s="86"/>
      <c r="BB409" s="86"/>
      <c r="BC409" s="86"/>
      <c r="BD409" s="86"/>
      <c r="BE409" s="86"/>
      <c r="BF409" s="86"/>
      <c r="BG409" s="86"/>
      <c r="BH409" s="86"/>
      <c r="BI409" s="86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  <c r="BT409" s="86"/>
      <c r="BU409" s="86"/>
    </row>
    <row r="410" spans="15:73"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  <c r="BT410" s="86"/>
      <c r="BU410" s="86"/>
    </row>
    <row r="411" spans="15:73"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  <c r="AV411" s="86"/>
      <c r="AW411" s="86"/>
      <c r="AX411" s="86"/>
      <c r="AY411" s="86"/>
      <c r="AZ411" s="86"/>
      <c r="BA411" s="86"/>
      <c r="BB411" s="86"/>
      <c r="BC411" s="86"/>
      <c r="BD411" s="86"/>
      <c r="BE411" s="86"/>
      <c r="BF411" s="86"/>
      <c r="BG411" s="86"/>
      <c r="BH411" s="86"/>
      <c r="BI411" s="86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  <c r="BT411" s="86"/>
      <c r="BU411" s="86"/>
    </row>
    <row r="412" spans="15:73"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  <c r="AV412" s="86"/>
      <c r="AW412" s="86"/>
      <c r="AX412" s="86"/>
      <c r="AY412" s="86"/>
      <c r="AZ412" s="86"/>
      <c r="BA412" s="86"/>
      <c r="BB412" s="86"/>
      <c r="BC412" s="86"/>
      <c r="BD412" s="86"/>
      <c r="BE412" s="86"/>
      <c r="BF412" s="86"/>
      <c r="BG412" s="86"/>
      <c r="BH412" s="86"/>
      <c r="BI412" s="86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  <c r="BT412" s="86"/>
      <c r="BU412" s="86"/>
    </row>
    <row r="413" spans="15:73"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  <c r="AV413" s="86"/>
      <c r="AW413" s="86"/>
      <c r="AX413" s="86"/>
      <c r="AY413" s="86"/>
      <c r="AZ413" s="86"/>
      <c r="BA413" s="86"/>
      <c r="BB413" s="86"/>
      <c r="BC413" s="86"/>
      <c r="BD413" s="86"/>
      <c r="BE413" s="86"/>
      <c r="BF413" s="86"/>
      <c r="BG413" s="86"/>
      <c r="BH413" s="86"/>
      <c r="BI413" s="86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  <c r="BT413" s="86"/>
      <c r="BU413" s="86"/>
    </row>
    <row r="414" spans="15:73"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  <c r="AV414" s="86"/>
      <c r="AW414" s="86"/>
      <c r="AX414" s="86"/>
      <c r="AY414" s="86"/>
      <c r="AZ414" s="86"/>
      <c r="BA414" s="86"/>
      <c r="BB414" s="86"/>
      <c r="BC414" s="86"/>
      <c r="BD414" s="86"/>
      <c r="BE414" s="86"/>
      <c r="BF414" s="86"/>
      <c r="BG414" s="86"/>
      <c r="BH414" s="86"/>
      <c r="BI414" s="86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  <c r="BT414" s="86"/>
      <c r="BU414" s="86"/>
    </row>
    <row r="415" spans="15:73"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  <c r="AV415" s="86"/>
      <c r="AW415" s="86"/>
      <c r="AX415" s="86"/>
      <c r="AY415" s="86"/>
      <c r="AZ415" s="86"/>
      <c r="BA415" s="86"/>
      <c r="BB415" s="86"/>
      <c r="BC415" s="86"/>
      <c r="BD415" s="86"/>
      <c r="BE415" s="86"/>
      <c r="BF415" s="86"/>
      <c r="BG415" s="86"/>
      <c r="BH415" s="86"/>
      <c r="BI415" s="86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  <c r="BT415" s="86"/>
      <c r="BU415" s="86"/>
    </row>
    <row r="416" spans="15:73"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  <c r="AV416" s="86"/>
      <c r="AW416" s="86"/>
      <c r="AX416" s="86"/>
      <c r="AY416" s="86"/>
      <c r="AZ416" s="86"/>
      <c r="BA416" s="86"/>
      <c r="BB416" s="86"/>
      <c r="BC416" s="86"/>
      <c r="BD416" s="86"/>
      <c r="BE416" s="86"/>
      <c r="BF416" s="86"/>
      <c r="BG416" s="86"/>
      <c r="BH416" s="86"/>
      <c r="BI416" s="86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  <c r="BT416" s="86"/>
      <c r="BU416" s="86"/>
    </row>
    <row r="417" spans="15:73"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  <c r="AV417" s="86"/>
      <c r="AW417" s="86"/>
      <c r="AX417" s="86"/>
      <c r="AY417" s="86"/>
      <c r="AZ417" s="86"/>
      <c r="BA417" s="86"/>
      <c r="BB417" s="86"/>
      <c r="BC417" s="86"/>
      <c r="BD417" s="86"/>
      <c r="BE417" s="86"/>
      <c r="BF417" s="86"/>
      <c r="BG417" s="86"/>
      <c r="BH417" s="86"/>
      <c r="BI417" s="86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  <c r="BT417" s="86"/>
      <c r="BU417" s="86"/>
    </row>
    <row r="418" spans="15:73"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  <c r="AV418" s="86"/>
      <c r="AW418" s="86"/>
      <c r="AX418" s="86"/>
      <c r="AY418" s="86"/>
      <c r="AZ418" s="86"/>
      <c r="BA418" s="86"/>
      <c r="BB418" s="86"/>
      <c r="BC418" s="86"/>
      <c r="BD418" s="86"/>
      <c r="BE418" s="86"/>
      <c r="BF418" s="86"/>
      <c r="BG418" s="86"/>
      <c r="BH418" s="86"/>
      <c r="BI418" s="86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  <c r="BT418" s="86"/>
      <c r="BU418" s="86"/>
    </row>
    <row r="419" spans="15:73"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  <c r="AV419" s="86"/>
      <c r="AW419" s="86"/>
      <c r="AX419" s="86"/>
      <c r="AY419" s="86"/>
      <c r="AZ419" s="86"/>
      <c r="BA419" s="86"/>
      <c r="BB419" s="86"/>
      <c r="BC419" s="86"/>
      <c r="BD419" s="86"/>
      <c r="BE419" s="86"/>
      <c r="BF419" s="86"/>
      <c r="BG419" s="86"/>
      <c r="BH419" s="86"/>
      <c r="BI419" s="86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  <c r="BT419" s="86"/>
      <c r="BU419" s="86"/>
    </row>
    <row r="420" spans="15:73"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  <c r="AV420" s="86"/>
      <c r="AW420" s="86"/>
      <c r="AX420" s="86"/>
      <c r="AY420" s="86"/>
      <c r="AZ420" s="86"/>
      <c r="BA420" s="86"/>
      <c r="BB420" s="86"/>
      <c r="BC420" s="86"/>
      <c r="BD420" s="86"/>
      <c r="BE420" s="86"/>
      <c r="BF420" s="86"/>
      <c r="BG420" s="86"/>
      <c r="BH420" s="86"/>
      <c r="BI420" s="86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  <c r="BT420" s="86"/>
      <c r="BU420" s="86"/>
    </row>
    <row r="421" spans="15:73"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  <c r="AV421" s="86"/>
      <c r="AW421" s="86"/>
      <c r="AX421" s="86"/>
      <c r="AY421" s="86"/>
      <c r="AZ421" s="86"/>
      <c r="BA421" s="86"/>
      <c r="BB421" s="86"/>
      <c r="BC421" s="86"/>
      <c r="BD421" s="86"/>
      <c r="BE421" s="86"/>
      <c r="BF421" s="86"/>
      <c r="BG421" s="86"/>
      <c r="BH421" s="86"/>
      <c r="BI421" s="86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  <c r="BT421" s="86"/>
      <c r="BU421" s="86"/>
    </row>
    <row r="422" spans="15:73"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  <c r="AV422" s="86"/>
      <c r="AW422" s="86"/>
      <c r="AX422" s="86"/>
      <c r="AY422" s="86"/>
      <c r="AZ422" s="86"/>
      <c r="BA422" s="86"/>
      <c r="BB422" s="86"/>
      <c r="BC422" s="86"/>
      <c r="BD422" s="86"/>
      <c r="BE422" s="86"/>
      <c r="BF422" s="86"/>
      <c r="BG422" s="86"/>
      <c r="BH422" s="86"/>
      <c r="BI422" s="86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  <c r="BT422" s="86"/>
      <c r="BU422" s="86"/>
    </row>
    <row r="423" spans="15:73"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6"/>
    </row>
    <row r="424" spans="15:73"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6"/>
    </row>
    <row r="425" spans="15:73"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6"/>
    </row>
    <row r="426" spans="15:73"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  <c r="AV426" s="86"/>
      <c r="AW426" s="86"/>
      <c r="AX426" s="86"/>
      <c r="AY426" s="86"/>
      <c r="AZ426" s="86"/>
      <c r="BA426" s="86"/>
      <c r="BB426" s="86"/>
      <c r="BC426" s="86"/>
      <c r="BD426" s="86"/>
      <c r="BE426" s="86"/>
      <c r="BF426" s="86"/>
      <c r="BG426" s="86"/>
      <c r="BH426" s="86"/>
      <c r="BI426" s="86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  <c r="BT426" s="86"/>
      <c r="BU426" s="86"/>
    </row>
    <row r="427" spans="15:73"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  <c r="AV427" s="86"/>
      <c r="AW427" s="86"/>
      <c r="AX427" s="86"/>
      <c r="AY427" s="86"/>
      <c r="AZ427" s="86"/>
      <c r="BA427" s="86"/>
      <c r="BB427" s="86"/>
      <c r="BC427" s="86"/>
      <c r="BD427" s="86"/>
      <c r="BE427" s="86"/>
      <c r="BF427" s="86"/>
      <c r="BG427" s="86"/>
      <c r="BH427" s="86"/>
      <c r="BI427" s="86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  <c r="BT427" s="86"/>
      <c r="BU427" s="86"/>
    </row>
    <row r="428" spans="15:73"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  <c r="AV428" s="86"/>
      <c r="AW428" s="86"/>
      <c r="AX428" s="86"/>
      <c r="AY428" s="86"/>
      <c r="AZ428" s="86"/>
      <c r="BA428" s="86"/>
      <c r="BB428" s="86"/>
      <c r="BC428" s="86"/>
      <c r="BD428" s="86"/>
      <c r="BE428" s="86"/>
      <c r="BF428" s="86"/>
      <c r="BG428" s="86"/>
      <c r="BH428" s="86"/>
      <c r="BI428" s="86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  <c r="BT428" s="86"/>
      <c r="BU428" s="86"/>
    </row>
    <row r="429" spans="15:73"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  <c r="AV429" s="86"/>
      <c r="AW429" s="86"/>
      <c r="AX429" s="86"/>
      <c r="AY429" s="86"/>
      <c r="AZ429" s="86"/>
      <c r="BA429" s="86"/>
      <c r="BB429" s="86"/>
      <c r="BC429" s="86"/>
      <c r="BD429" s="86"/>
      <c r="BE429" s="86"/>
      <c r="BF429" s="86"/>
      <c r="BG429" s="86"/>
      <c r="BH429" s="86"/>
      <c r="BI429" s="86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  <c r="BT429" s="86"/>
      <c r="BU429" s="86"/>
    </row>
    <row r="430" spans="15:73"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  <c r="AV430" s="86"/>
      <c r="AW430" s="86"/>
      <c r="AX430" s="86"/>
      <c r="AY430" s="86"/>
      <c r="AZ430" s="86"/>
      <c r="BA430" s="86"/>
      <c r="BB430" s="86"/>
      <c r="BC430" s="86"/>
      <c r="BD430" s="86"/>
      <c r="BE430" s="86"/>
      <c r="BF430" s="86"/>
      <c r="BG430" s="86"/>
      <c r="BH430" s="86"/>
      <c r="BI430" s="86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  <c r="BT430" s="86"/>
      <c r="BU430" s="86"/>
    </row>
    <row r="431" spans="15:73"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  <c r="AV431" s="86"/>
      <c r="AW431" s="86"/>
      <c r="AX431" s="86"/>
      <c r="AY431" s="86"/>
      <c r="AZ431" s="86"/>
      <c r="BA431" s="86"/>
      <c r="BB431" s="86"/>
      <c r="BC431" s="86"/>
      <c r="BD431" s="86"/>
      <c r="BE431" s="86"/>
      <c r="BF431" s="86"/>
      <c r="BG431" s="86"/>
      <c r="BH431" s="86"/>
      <c r="BI431" s="86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  <c r="BT431" s="86"/>
      <c r="BU431" s="86"/>
    </row>
    <row r="432" spans="15:73"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  <c r="BT432" s="86"/>
      <c r="BU432" s="86"/>
    </row>
    <row r="433" spans="15:73"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  <c r="BT433" s="86"/>
      <c r="BU433" s="86"/>
    </row>
    <row r="434" spans="15:73"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  <c r="BT434" s="86"/>
      <c r="BU434" s="86"/>
    </row>
    <row r="435" spans="15:73"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  <c r="BT435" s="86"/>
      <c r="BU435" s="86"/>
    </row>
    <row r="436" spans="15:73"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  <c r="BT436" s="86"/>
      <c r="BU436" s="86"/>
    </row>
    <row r="437" spans="15:73"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  <c r="AV437" s="86"/>
      <c r="AW437" s="86"/>
      <c r="AX437" s="86"/>
      <c r="AY437" s="86"/>
      <c r="AZ437" s="86"/>
      <c r="BA437" s="86"/>
      <c r="BB437" s="86"/>
      <c r="BC437" s="86"/>
      <c r="BD437" s="86"/>
      <c r="BE437" s="86"/>
      <c r="BF437" s="86"/>
      <c r="BG437" s="86"/>
      <c r="BH437" s="86"/>
      <c r="BI437" s="86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  <c r="BT437" s="86"/>
      <c r="BU437" s="86"/>
    </row>
    <row r="438" spans="15:73"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  <c r="AV438" s="86"/>
      <c r="AW438" s="86"/>
      <c r="AX438" s="86"/>
      <c r="AY438" s="86"/>
      <c r="AZ438" s="86"/>
      <c r="BA438" s="86"/>
      <c r="BB438" s="86"/>
      <c r="BC438" s="86"/>
      <c r="BD438" s="86"/>
      <c r="BE438" s="86"/>
      <c r="BF438" s="86"/>
      <c r="BG438" s="86"/>
      <c r="BH438" s="86"/>
      <c r="BI438" s="86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  <c r="BT438" s="86"/>
      <c r="BU438" s="86"/>
    </row>
    <row r="439" spans="15:73"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  <c r="AV439" s="86"/>
      <c r="AW439" s="86"/>
      <c r="AX439" s="86"/>
      <c r="AY439" s="86"/>
      <c r="AZ439" s="86"/>
      <c r="BA439" s="86"/>
      <c r="BB439" s="86"/>
      <c r="BC439" s="86"/>
      <c r="BD439" s="86"/>
      <c r="BE439" s="86"/>
      <c r="BF439" s="86"/>
      <c r="BG439" s="86"/>
      <c r="BH439" s="86"/>
      <c r="BI439" s="86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  <c r="BT439" s="86"/>
      <c r="BU439" s="86"/>
    </row>
    <row r="440" spans="15:73"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  <c r="AV440" s="86"/>
      <c r="AW440" s="86"/>
      <c r="AX440" s="86"/>
      <c r="AY440" s="86"/>
      <c r="AZ440" s="86"/>
      <c r="BA440" s="86"/>
      <c r="BB440" s="86"/>
      <c r="BC440" s="86"/>
      <c r="BD440" s="86"/>
      <c r="BE440" s="86"/>
      <c r="BF440" s="86"/>
      <c r="BG440" s="86"/>
      <c r="BH440" s="86"/>
      <c r="BI440" s="86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  <c r="BT440" s="86"/>
      <c r="BU440" s="86"/>
    </row>
    <row r="441" spans="15:73"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  <c r="AV441" s="86"/>
      <c r="AW441" s="86"/>
      <c r="AX441" s="86"/>
      <c r="AY441" s="86"/>
      <c r="AZ441" s="86"/>
      <c r="BA441" s="86"/>
      <c r="BB441" s="86"/>
      <c r="BC441" s="86"/>
      <c r="BD441" s="86"/>
      <c r="BE441" s="86"/>
      <c r="BF441" s="86"/>
      <c r="BG441" s="86"/>
      <c r="BH441" s="86"/>
      <c r="BI441" s="86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  <c r="BT441" s="86"/>
      <c r="BU441" s="86"/>
    </row>
    <row r="442" spans="15:73"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6"/>
    </row>
    <row r="443" spans="15:73"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6"/>
    </row>
    <row r="444" spans="15:73"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  <c r="AV444" s="86"/>
      <c r="AW444" s="86"/>
      <c r="AX444" s="86"/>
      <c r="AY444" s="86"/>
      <c r="AZ444" s="86"/>
      <c r="BA444" s="86"/>
      <c r="BB444" s="86"/>
      <c r="BC444" s="86"/>
      <c r="BD444" s="86"/>
      <c r="BE444" s="86"/>
      <c r="BF444" s="86"/>
      <c r="BG444" s="86"/>
      <c r="BH444" s="86"/>
      <c r="BI444" s="86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  <c r="BT444" s="86"/>
      <c r="BU444" s="86"/>
    </row>
    <row r="445" spans="15:73"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  <c r="AV445" s="86"/>
      <c r="AW445" s="86"/>
      <c r="AX445" s="86"/>
      <c r="AY445" s="86"/>
      <c r="AZ445" s="86"/>
      <c r="BA445" s="86"/>
      <c r="BB445" s="86"/>
      <c r="BC445" s="86"/>
      <c r="BD445" s="86"/>
      <c r="BE445" s="86"/>
      <c r="BF445" s="86"/>
      <c r="BG445" s="86"/>
      <c r="BH445" s="86"/>
      <c r="BI445" s="86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  <c r="BT445" s="86"/>
      <c r="BU445" s="86"/>
    </row>
    <row r="446" spans="15:73"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  <c r="AV446" s="86"/>
      <c r="AW446" s="86"/>
      <c r="AX446" s="86"/>
      <c r="AY446" s="86"/>
      <c r="AZ446" s="86"/>
      <c r="BA446" s="86"/>
      <c r="BB446" s="86"/>
      <c r="BC446" s="86"/>
      <c r="BD446" s="86"/>
      <c r="BE446" s="86"/>
      <c r="BF446" s="86"/>
      <c r="BG446" s="86"/>
      <c r="BH446" s="86"/>
      <c r="BI446" s="86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  <c r="BT446" s="86"/>
      <c r="BU446" s="86"/>
    </row>
    <row r="447" spans="15:73"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  <c r="AV447" s="86"/>
      <c r="AW447" s="86"/>
      <c r="AX447" s="86"/>
      <c r="AY447" s="86"/>
      <c r="AZ447" s="86"/>
      <c r="BA447" s="86"/>
      <c r="BB447" s="86"/>
      <c r="BC447" s="86"/>
      <c r="BD447" s="86"/>
      <c r="BE447" s="86"/>
      <c r="BF447" s="86"/>
      <c r="BG447" s="86"/>
      <c r="BH447" s="86"/>
      <c r="BI447" s="86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  <c r="BT447" s="86"/>
      <c r="BU447" s="86"/>
    </row>
    <row r="448" spans="15:73"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  <c r="AV448" s="86"/>
      <c r="AW448" s="86"/>
      <c r="AX448" s="86"/>
      <c r="AY448" s="86"/>
      <c r="AZ448" s="86"/>
      <c r="BA448" s="86"/>
      <c r="BB448" s="86"/>
      <c r="BC448" s="86"/>
      <c r="BD448" s="86"/>
      <c r="BE448" s="86"/>
      <c r="BF448" s="86"/>
      <c r="BG448" s="86"/>
      <c r="BH448" s="86"/>
      <c r="BI448" s="86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  <c r="BT448" s="86"/>
      <c r="BU448" s="86"/>
    </row>
    <row r="449" spans="15:73"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  <c r="AV449" s="86"/>
      <c r="AW449" s="86"/>
      <c r="AX449" s="86"/>
      <c r="AY449" s="86"/>
      <c r="AZ449" s="86"/>
      <c r="BA449" s="86"/>
      <c r="BB449" s="86"/>
      <c r="BC449" s="86"/>
      <c r="BD449" s="86"/>
      <c r="BE449" s="86"/>
      <c r="BF449" s="86"/>
      <c r="BG449" s="86"/>
      <c r="BH449" s="86"/>
      <c r="BI449" s="86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  <c r="BT449" s="86"/>
      <c r="BU449" s="86"/>
    </row>
    <row r="450" spans="15:73"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  <c r="AV450" s="86"/>
      <c r="AW450" s="86"/>
      <c r="AX450" s="86"/>
      <c r="AY450" s="86"/>
      <c r="AZ450" s="86"/>
      <c r="BA450" s="86"/>
      <c r="BB450" s="86"/>
      <c r="BC450" s="86"/>
      <c r="BD450" s="86"/>
      <c r="BE450" s="86"/>
      <c r="BF450" s="86"/>
      <c r="BG450" s="86"/>
      <c r="BH450" s="86"/>
      <c r="BI450" s="86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  <c r="BT450" s="86"/>
      <c r="BU450" s="86"/>
    </row>
    <row r="451" spans="15:73"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  <c r="AV451" s="86"/>
      <c r="AW451" s="86"/>
      <c r="AX451" s="86"/>
      <c r="AY451" s="86"/>
      <c r="AZ451" s="86"/>
      <c r="BA451" s="86"/>
      <c r="BB451" s="86"/>
      <c r="BC451" s="86"/>
      <c r="BD451" s="86"/>
      <c r="BE451" s="86"/>
      <c r="BF451" s="86"/>
      <c r="BG451" s="86"/>
      <c r="BH451" s="86"/>
      <c r="BI451" s="86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  <c r="BT451" s="86"/>
      <c r="BU451" s="86"/>
    </row>
    <row r="452" spans="15:73"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  <c r="AV452" s="86"/>
      <c r="AW452" s="86"/>
      <c r="AX452" s="86"/>
      <c r="AY452" s="86"/>
      <c r="AZ452" s="86"/>
      <c r="BA452" s="86"/>
      <c r="BB452" s="86"/>
      <c r="BC452" s="86"/>
      <c r="BD452" s="86"/>
      <c r="BE452" s="86"/>
      <c r="BF452" s="86"/>
      <c r="BG452" s="86"/>
      <c r="BH452" s="86"/>
      <c r="BI452" s="86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  <c r="BT452" s="86"/>
      <c r="BU452" s="86"/>
    </row>
    <row r="453" spans="15:73"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  <c r="AV453" s="86"/>
      <c r="AW453" s="86"/>
      <c r="AX453" s="86"/>
      <c r="AY453" s="86"/>
      <c r="AZ453" s="86"/>
      <c r="BA453" s="86"/>
      <c r="BB453" s="86"/>
      <c r="BC453" s="86"/>
      <c r="BD453" s="86"/>
      <c r="BE453" s="86"/>
      <c r="BF453" s="86"/>
      <c r="BG453" s="86"/>
      <c r="BH453" s="86"/>
      <c r="BI453" s="86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  <c r="BT453" s="86"/>
      <c r="BU453" s="86"/>
    </row>
    <row r="454" spans="15:73"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  <c r="AV454" s="86"/>
      <c r="AW454" s="86"/>
      <c r="AX454" s="86"/>
      <c r="AY454" s="86"/>
      <c r="AZ454" s="86"/>
      <c r="BA454" s="86"/>
      <c r="BB454" s="86"/>
      <c r="BC454" s="86"/>
      <c r="BD454" s="86"/>
      <c r="BE454" s="86"/>
      <c r="BF454" s="86"/>
      <c r="BG454" s="86"/>
      <c r="BH454" s="86"/>
      <c r="BI454" s="86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  <c r="BT454" s="86"/>
      <c r="BU454" s="86"/>
    </row>
    <row r="455" spans="15:73"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  <c r="AV455" s="86"/>
      <c r="AW455" s="86"/>
      <c r="AX455" s="86"/>
      <c r="AY455" s="86"/>
      <c r="AZ455" s="86"/>
      <c r="BA455" s="86"/>
      <c r="BB455" s="86"/>
      <c r="BC455" s="86"/>
      <c r="BD455" s="86"/>
      <c r="BE455" s="86"/>
      <c r="BF455" s="86"/>
      <c r="BG455" s="86"/>
      <c r="BH455" s="86"/>
      <c r="BI455" s="86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  <c r="BT455" s="86"/>
      <c r="BU455" s="86"/>
    </row>
    <row r="456" spans="15:73"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  <c r="AV456" s="86"/>
      <c r="AW456" s="86"/>
      <c r="AX456" s="86"/>
      <c r="AY456" s="86"/>
      <c r="AZ456" s="86"/>
      <c r="BA456" s="86"/>
      <c r="BB456" s="86"/>
      <c r="BC456" s="86"/>
      <c r="BD456" s="86"/>
      <c r="BE456" s="86"/>
      <c r="BF456" s="86"/>
      <c r="BG456" s="86"/>
      <c r="BH456" s="86"/>
      <c r="BI456" s="86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  <c r="BT456" s="86"/>
      <c r="BU456" s="86"/>
    </row>
    <row r="457" spans="15:73"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  <c r="AV457" s="86"/>
      <c r="AW457" s="86"/>
      <c r="AX457" s="86"/>
      <c r="AY457" s="86"/>
      <c r="AZ457" s="86"/>
      <c r="BA457" s="86"/>
      <c r="BB457" s="86"/>
      <c r="BC457" s="86"/>
      <c r="BD457" s="86"/>
      <c r="BE457" s="86"/>
      <c r="BF457" s="86"/>
      <c r="BG457" s="86"/>
      <c r="BH457" s="86"/>
      <c r="BI457" s="86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  <c r="BT457" s="86"/>
      <c r="BU457" s="86"/>
    </row>
    <row r="458" spans="15:73"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  <c r="AV458" s="86"/>
      <c r="AW458" s="86"/>
      <c r="AX458" s="86"/>
      <c r="AY458" s="86"/>
      <c r="AZ458" s="86"/>
      <c r="BA458" s="86"/>
      <c r="BB458" s="86"/>
      <c r="BC458" s="86"/>
      <c r="BD458" s="86"/>
      <c r="BE458" s="86"/>
      <c r="BF458" s="86"/>
      <c r="BG458" s="86"/>
      <c r="BH458" s="86"/>
      <c r="BI458" s="86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  <c r="BT458" s="86"/>
      <c r="BU458" s="86"/>
    </row>
    <row r="459" spans="15:73"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  <c r="AV459" s="86"/>
      <c r="AW459" s="86"/>
      <c r="AX459" s="86"/>
      <c r="AY459" s="86"/>
      <c r="AZ459" s="86"/>
      <c r="BA459" s="86"/>
      <c r="BB459" s="86"/>
      <c r="BC459" s="86"/>
      <c r="BD459" s="86"/>
      <c r="BE459" s="86"/>
      <c r="BF459" s="86"/>
      <c r="BG459" s="86"/>
      <c r="BH459" s="86"/>
      <c r="BI459" s="86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  <c r="BT459" s="86"/>
      <c r="BU459" s="86"/>
    </row>
    <row r="460" spans="15:73"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  <c r="AV460" s="86"/>
      <c r="AW460" s="86"/>
      <c r="AX460" s="86"/>
      <c r="AY460" s="86"/>
      <c r="AZ460" s="86"/>
      <c r="BA460" s="86"/>
      <c r="BB460" s="86"/>
      <c r="BC460" s="86"/>
      <c r="BD460" s="86"/>
      <c r="BE460" s="86"/>
      <c r="BF460" s="86"/>
      <c r="BG460" s="86"/>
      <c r="BH460" s="86"/>
      <c r="BI460" s="86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  <c r="BT460" s="86"/>
      <c r="BU460" s="86"/>
    </row>
    <row r="461" spans="15:73"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  <c r="AV461" s="86"/>
      <c r="AW461" s="86"/>
      <c r="AX461" s="86"/>
      <c r="AY461" s="86"/>
      <c r="AZ461" s="86"/>
      <c r="BA461" s="86"/>
      <c r="BB461" s="86"/>
      <c r="BC461" s="86"/>
      <c r="BD461" s="86"/>
      <c r="BE461" s="86"/>
      <c r="BF461" s="86"/>
      <c r="BG461" s="86"/>
      <c r="BH461" s="86"/>
      <c r="BI461" s="86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  <c r="BT461" s="86"/>
      <c r="BU461" s="86"/>
    </row>
    <row r="462" spans="15:73"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  <c r="AV462" s="86"/>
      <c r="AW462" s="86"/>
      <c r="AX462" s="86"/>
      <c r="AY462" s="86"/>
      <c r="AZ462" s="86"/>
      <c r="BA462" s="86"/>
      <c r="BB462" s="86"/>
      <c r="BC462" s="86"/>
      <c r="BD462" s="86"/>
      <c r="BE462" s="86"/>
      <c r="BF462" s="86"/>
      <c r="BG462" s="86"/>
      <c r="BH462" s="86"/>
      <c r="BI462" s="86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  <c r="BT462" s="86"/>
      <c r="BU462" s="86"/>
    </row>
    <row r="463" spans="15:73"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  <c r="AV463" s="86"/>
      <c r="AW463" s="86"/>
      <c r="AX463" s="86"/>
      <c r="AY463" s="86"/>
      <c r="AZ463" s="86"/>
      <c r="BA463" s="86"/>
      <c r="BB463" s="86"/>
      <c r="BC463" s="86"/>
      <c r="BD463" s="86"/>
      <c r="BE463" s="86"/>
      <c r="BF463" s="86"/>
      <c r="BG463" s="86"/>
      <c r="BH463" s="86"/>
      <c r="BI463" s="86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  <c r="BT463" s="86"/>
      <c r="BU463" s="86"/>
    </row>
    <row r="464" spans="15:73"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  <c r="AV464" s="86"/>
      <c r="AW464" s="86"/>
      <c r="AX464" s="86"/>
      <c r="AY464" s="86"/>
      <c r="AZ464" s="86"/>
      <c r="BA464" s="86"/>
      <c r="BB464" s="86"/>
      <c r="BC464" s="86"/>
      <c r="BD464" s="86"/>
      <c r="BE464" s="86"/>
      <c r="BF464" s="86"/>
      <c r="BG464" s="86"/>
      <c r="BH464" s="86"/>
      <c r="BI464" s="86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  <c r="BT464" s="86"/>
      <c r="BU464" s="86"/>
    </row>
    <row r="465" spans="15:73"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  <c r="AV465" s="86"/>
      <c r="AW465" s="86"/>
      <c r="AX465" s="86"/>
      <c r="AY465" s="86"/>
      <c r="AZ465" s="86"/>
      <c r="BA465" s="86"/>
      <c r="BB465" s="86"/>
      <c r="BC465" s="86"/>
      <c r="BD465" s="86"/>
      <c r="BE465" s="86"/>
      <c r="BF465" s="86"/>
      <c r="BG465" s="86"/>
      <c r="BH465" s="86"/>
      <c r="BI465" s="86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  <c r="BT465" s="86"/>
      <c r="BU465" s="86"/>
    </row>
    <row r="466" spans="15:73"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6"/>
    </row>
    <row r="467" spans="15:73"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  <c r="AV467" s="86"/>
      <c r="AW467" s="86"/>
      <c r="AX467" s="86"/>
      <c r="AY467" s="86"/>
      <c r="AZ467" s="86"/>
      <c r="BA467" s="86"/>
      <c r="BB467" s="86"/>
      <c r="BC467" s="86"/>
      <c r="BD467" s="86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  <c r="BT467" s="86"/>
      <c r="BU467" s="86"/>
    </row>
    <row r="468" spans="15:73"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  <c r="AV468" s="86"/>
      <c r="AW468" s="86"/>
      <c r="AX468" s="86"/>
      <c r="AY468" s="86"/>
      <c r="AZ468" s="86"/>
      <c r="BA468" s="86"/>
      <c r="BB468" s="86"/>
      <c r="BC468" s="86"/>
      <c r="BD468" s="86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  <c r="BT468" s="86"/>
      <c r="BU468" s="86"/>
    </row>
    <row r="469" spans="15:73"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  <c r="AV469" s="86"/>
      <c r="AW469" s="86"/>
      <c r="AX469" s="86"/>
      <c r="AY469" s="86"/>
      <c r="AZ469" s="86"/>
      <c r="BA469" s="86"/>
      <c r="BB469" s="86"/>
      <c r="BC469" s="86"/>
      <c r="BD469" s="86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  <c r="BT469" s="86"/>
      <c r="BU469" s="86"/>
    </row>
    <row r="470" spans="15:73"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  <c r="AV470" s="86"/>
      <c r="AW470" s="86"/>
      <c r="AX470" s="86"/>
      <c r="AY470" s="86"/>
      <c r="AZ470" s="86"/>
      <c r="BA470" s="86"/>
      <c r="BB470" s="86"/>
      <c r="BC470" s="86"/>
      <c r="BD470" s="86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  <c r="BT470" s="86"/>
      <c r="BU470" s="86"/>
    </row>
    <row r="471" spans="15:73"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  <c r="AV471" s="86"/>
      <c r="AW471" s="86"/>
      <c r="AX471" s="86"/>
      <c r="AY471" s="86"/>
      <c r="AZ471" s="86"/>
      <c r="BA471" s="86"/>
      <c r="BB471" s="86"/>
      <c r="BC471" s="86"/>
      <c r="BD471" s="86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  <c r="BT471" s="86"/>
      <c r="BU471" s="86"/>
    </row>
    <row r="472" spans="15:73"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  <c r="AV472" s="86"/>
      <c r="AW472" s="86"/>
      <c r="AX472" s="86"/>
      <c r="AY472" s="86"/>
      <c r="AZ472" s="86"/>
      <c r="BA472" s="86"/>
      <c r="BB472" s="86"/>
      <c r="BC472" s="86"/>
      <c r="BD472" s="86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  <c r="BT472" s="86"/>
      <c r="BU472" s="86"/>
    </row>
    <row r="473" spans="15:73"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  <c r="AV473" s="86"/>
      <c r="AW473" s="86"/>
      <c r="AX473" s="86"/>
      <c r="AY473" s="86"/>
      <c r="AZ473" s="86"/>
      <c r="BA473" s="86"/>
      <c r="BB473" s="86"/>
      <c r="BC473" s="86"/>
      <c r="BD473" s="86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  <c r="BT473" s="86"/>
      <c r="BU473" s="86"/>
    </row>
    <row r="474" spans="15:73"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  <c r="AV474" s="86"/>
      <c r="AW474" s="86"/>
      <c r="AX474" s="86"/>
      <c r="AY474" s="86"/>
      <c r="AZ474" s="86"/>
      <c r="BA474" s="86"/>
      <c r="BB474" s="86"/>
      <c r="BC474" s="86"/>
      <c r="BD474" s="86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  <c r="BT474" s="86"/>
      <c r="BU474" s="86"/>
    </row>
    <row r="475" spans="15:73"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  <c r="AV475" s="86"/>
      <c r="AW475" s="86"/>
      <c r="AX475" s="86"/>
      <c r="AY475" s="86"/>
      <c r="AZ475" s="86"/>
      <c r="BA475" s="86"/>
      <c r="BB475" s="86"/>
      <c r="BC475" s="86"/>
      <c r="BD475" s="86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  <c r="BT475" s="86"/>
      <c r="BU475" s="86"/>
    </row>
    <row r="476" spans="15:73"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  <c r="AV476" s="86"/>
      <c r="AW476" s="86"/>
      <c r="AX476" s="86"/>
      <c r="AY476" s="86"/>
      <c r="AZ476" s="86"/>
      <c r="BA476" s="86"/>
      <c r="BB476" s="86"/>
      <c r="BC476" s="86"/>
      <c r="BD476" s="86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  <c r="BT476" s="86"/>
      <c r="BU476" s="86"/>
    </row>
    <row r="477" spans="15:73"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  <c r="BT477" s="86"/>
      <c r="BU477" s="86"/>
    </row>
    <row r="478" spans="15:73"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  <c r="BT478" s="86"/>
      <c r="BU478" s="86"/>
    </row>
    <row r="479" spans="15:73"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  <c r="AV479" s="86"/>
      <c r="AW479" s="86"/>
      <c r="AX479" s="86"/>
      <c r="AY479" s="86"/>
      <c r="AZ479" s="86"/>
      <c r="BA479" s="86"/>
      <c r="BB479" s="86"/>
      <c r="BC479" s="86"/>
      <c r="BD479" s="86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  <c r="BT479" s="86"/>
      <c r="BU479" s="86"/>
    </row>
    <row r="480" spans="15:73"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  <c r="AV480" s="86"/>
      <c r="AW480" s="86"/>
      <c r="AX480" s="86"/>
      <c r="AY480" s="86"/>
      <c r="AZ480" s="86"/>
      <c r="BA480" s="86"/>
      <c r="BB480" s="86"/>
      <c r="BC480" s="86"/>
      <c r="BD480" s="86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  <c r="BT480" s="86"/>
      <c r="BU480" s="86"/>
    </row>
    <row r="481" spans="15:73"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  <c r="AV481" s="86"/>
      <c r="AW481" s="86"/>
      <c r="AX481" s="86"/>
      <c r="AY481" s="86"/>
      <c r="AZ481" s="86"/>
      <c r="BA481" s="86"/>
      <c r="BB481" s="86"/>
      <c r="BC481" s="86"/>
      <c r="BD481" s="86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  <c r="BT481" s="86"/>
      <c r="BU481" s="86"/>
    </row>
    <row r="482" spans="15:73"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  <c r="AV482" s="86"/>
      <c r="AW482" s="86"/>
      <c r="AX482" s="86"/>
      <c r="AY482" s="86"/>
      <c r="AZ482" s="86"/>
      <c r="BA482" s="86"/>
      <c r="BB482" s="86"/>
      <c r="BC482" s="86"/>
      <c r="BD482" s="86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  <c r="BT482" s="86"/>
      <c r="BU482" s="86"/>
    </row>
    <row r="483" spans="15:73"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  <c r="AV483" s="86"/>
      <c r="AW483" s="86"/>
      <c r="AX483" s="86"/>
      <c r="AY483" s="86"/>
      <c r="AZ483" s="86"/>
      <c r="BA483" s="86"/>
      <c r="BB483" s="86"/>
      <c r="BC483" s="86"/>
      <c r="BD483" s="86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  <c r="BT483" s="86"/>
      <c r="BU483" s="86"/>
    </row>
    <row r="484" spans="15:73"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6"/>
    </row>
    <row r="485" spans="15:73"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  <c r="AV485" s="86"/>
      <c r="AW485" s="86"/>
      <c r="AX485" s="86"/>
      <c r="AY485" s="86"/>
      <c r="AZ485" s="86"/>
      <c r="BA485" s="86"/>
      <c r="BB485" s="86"/>
      <c r="BC485" s="86"/>
      <c r="BD485" s="86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  <c r="BT485" s="86"/>
      <c r="BU485" s="86"/>
    </row>
    <row r="486" spans="15:73"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  <c r="AV486" s="86"/>
      <c r="AW486" s="86"/>
      <c r="AX486" s="86"/>
      <c r="AY486" s="86"/>
      <c r="AZ486" s="86"/>
      <c r="BA486" s="86"/>
      <c r="BB486" s="86"/>
      <c r="BC486" s="86"/>
      <c r="BD486" s="86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  <c r="BT486" s="86"/>
      <c r="BU486" s="86"/>
    </row>
    <row r="487" spans="15:73"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  <c r="AV487" s="86"/>
      <c r="AW487" s="86"/>
      <c r="AX487" s="86"/>
      <c r="AY487" s="86"/>
      <c r="AZ487" s="86"/>
      <c r="BA487" s="86"/>
      <c r="BB487" s="86"/>
      <c r="BC487" s="86"/>
      <c r="BD487" s="86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  <c r="BT487" s="86"/>
      <c r="BU487" s="86"/>
    </row>
    <row r="488" spans="15:73"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  <c r="AV488" s="86"/>
      <c r="AW488" s="86"/>
      <c r="AX488" s="86"/>
      <c r="AY488" s="86"/>
      <c r="AZ488" s="86"/>
      <c r="BA488" s="86"/>
      <c r="BB488" s="86"/>
      <c r="BC488" s="86"/>
      <c r="BD488" s="86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  <c r="BT488" s="86"/>
      <c r="BU488" s="86"/>
    </row>
    <row r="489" spans="15:73"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  <c r="AV489" s="86"/>
      <c r="AW489" s="86"/>
      <c r="AX489" s="86"/>
      <c r="AY489" s="86"/>
      <c r="AZ489" s="86"/>
      <c r="BA489" s="86"/>
      <c r="BB489" s="86"/>
      <c r="BC489" s="86"/>
      <c r="BD489" s="86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  <c r="BT489" s="86"/>
      <c r="BU489" s="86"/>
    </row>
    <row r="490" spans="15:73"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  <c r="AV490" s="86"/>
      <c r="AW490" s="86"/>
      <c r="AX490" s="86"/>
      <c r="AY490" s="86"/>
      <c r="AZ490" s="86"/>
      <c r="BA490" s="86"/>
      <c r="BB490" s="86"/>
      <c r="BC490" s="86"/>
      <c r="BD490" s="86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  <c r="BT490" s="86"/>
      <c r="BU490" s="86"/>
    </row>
    <row r="491" spans="15:73"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  <c r="AV491" s="86"/>
      <c r="AW491" s="86"/>
      <c r="AX491" s="86"/>
      <c r="AY491" s="86"/>
      <c r="AZ491" s="86"/>
      <c r="BA491" s="86"/>
      <c r="BB491" s="86"/>
      <c r="BC491" s="86"/>
      <c r="BD491" s="86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  <c r="BT491" s="86"/>
      <c r="BU491" s="86"/>
    </row>
    <row r="492" spans="15:73"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  <c r="AV492" s="86"/>
      <c r="AW492" s="86"/>
      <c r="AX492" s="86"/>
      <c r="AY492" s="86"/>
      <c r="AZ492" s="86"/>
      <c r="BA492" s="86"/>
      <c r="BB492" s="86"/>
      <c r="BC492" s="86"/>
      <c r="BD492" s="86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  <c r="BT492" s="86"/>
      <c r="BU492" s="86"/>
    </row>
    <row r="493" spans="15:73"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  <c r="AV493" s="86"/>
      <c r="AW493" s="86"/>
      <c r="AX493" s="86"/>
      <c r="AY493" s="86"/>
      <c r="AZ493" s="86"/>
      <c r="BA493" s="86"/>
      <c r="BB493" s="86"/>
      <c r="BC493" s="86"/>
      <c r="BD493" s="86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  <c r="BT493" s="86"/>
      <c r="BU493" s="86"/>
    </row>
    <row r="494" spans="15:73"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  <c r="AV494" s="86"/>
      <c r="AW494" s="86"/>
      <c r="AX494" s="86"/>
      <c r="AY494" s="86"/>
      <c r="AZ494" s="86"/>
      <c r="BA494" s="86"/>
      <c r="BB494" s="86"/>
      <c r="BC494" s="86"/>
      <c r="BD494" s="86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  <c r="BT494" s="86"/>
      <c r="BU494" s="86"/>
    </row>
    <row r="495" spans="15:73"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  <c r="AV495" s="86"/>
      <c r="AW495" s="86"/>
      <c r="AX495" s="86"/>
      <c r="AY495" s="86"/>
      <c r="AZ495" s="86"/>
      <c r="BA495" s="86"/>
      <c r="BB495" s="86"/>
      <c r="BC495" s="86"/>
      <c r="BD495" s="86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  <c r="BT495" s="86"/>
      <c r="BU495" s="86"/>
    </row>
    <row r="496" spans="15:73"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6"/>
    </row>
    <row r="497" spans="15:73"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  <c r="AV497" s="86"/>
      <c r="AW497" s="86"/>
      <c r="AX497" s="86"/>
      <c r="AY497" s="86"/>
      <c r="AZ497" s="86"/>
      <c r="BA497" s="86"/>
      <c r="BB497" s="86"/>
      <c r="BC497" s="86"/>
      <c r="BD497" s="86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  <c r="BT497" s="86"/>
      <c r="BU497" s="86"/>
    </row>
    <row r="498" spans="15:73"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  <c r="AV498" s="86"/>
      <c r="AW498" s="86"/>
      <c r="AX498" s="86"/>
      <c r="AY498" s="86"/>
      <c r="AZ498" s="86"/>
      <c r="BA498" s="86"/>
      <c r="BB498" s="86"/>
      <c r="BC498" s="86"/>
      <c r="BD498" s="86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  <c r="BT498" s="86"/>
      <c r="BU498" s="86"/>
    </row>
    <row r="499" spans="15:73"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  <c r="AV499" s="86"/>
      <c r="AW499" s="86"/>
      <c r="AX499" s="86"/>
      <c r="AY499" s="86"/>
      <c r="AZ499" s="86"/>
      <c r="BA499" s="86"/>
      <c r="BB499" s="86"/>
      <c r="BC499" s="86"/>
      <c r="BD499" s="86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  <c r="BT499" s="86"/>
      <c r="BU499" s="86"/>
    </row>
    <row r="500" spans="15:73"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  <c r="AV500" s="86"/>
      <c r="AW500" s="86"/>
      <c r="AX500" s="86"/>
      <c r="AY500" s="86"/>
      <c r="AZ500" s="86"/>
      <c r="BA500" s="86"/>
      <c r="BB500" s="86"/>
      <c r="BC500" s="86"/>
      <c r="BD500" s="86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  <c r="BT500" s="86"/>
      <c r="BU500" s="86"/>
    </row>
    <row r="501" spans="15:73"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  <c r="AV501" s="86"/>
      <c r="AW501" s="86"/>
      <c r="AX501" s="86"/>
      <c r="AY501" s="86"/>
      <c r="AZ501" s="86"/>
      <c r="BA501" s="86"/>
      <c r="BB501" s="86"/>
      <c r="BC501" s="86"/>
      <c r="BD501" s="86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  <c r="BT501" s="86"/>
      <c r="BU501" s="86"/>
    </row>
    <row r="502" spans="15:73"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  <c r="AV502" s="86"/>
      <c r="AW502" s="86"/>
      <c r="AX502" s="86"/>
      <c r="AY502" s="86"/>
      <c r="AZ502" s="86"/>
      <c r="BA502" s="86"/>
      <c r="BB502" s="86"/>
      <c r="BC502" s="86"/>
      <c r="BD502" s="86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  <c r="BT502" s="86"/>
      <c r="BU502" s="86"/>
    </row>
    <row r="503" spans="15:73"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  <c r="AV503" s="86"/>
      <c r="AW503" s="86"/>
      <c r="AX503" s="86"/>
      <c r="AY503" s="86"/>
      <c r="AZ503" s="86"/>
      <c r="BA503" s="86"/>
      <c r="BB503" s="86"/>
      <c r="BC503" s="86"/>
      <c r="BD503" s="86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  <c r="BT503" s="86"/>
      <c r="BU503" s="86"/>
    </row>
    <row r="504" spans="15:73"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  <c r="AV504" s="86"/>
      <c r="AW504" s="86"/>
      <c r="AX504" s="86"/>
      <c r="AY504" s="86"/>
      <c r="AZ504" s="86"/>
      <c r="BA504" s="86"/>
      <c r="BB504" s="86"/>
      <c r="BC504" s="86"/>
      <c r="BD504" s="86"/>
      <c r="BE504" s="86"/>
      <c r="BF504" s="86"/>
      <c r="BG504" s="86"/>
      <c r="BH504" s="86"/>
      <c r="BI504" s="86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  <c r="BT504" s="86"/>
      <c r="BU504" s="86"/>
    </row>
    <row r="505" spans="15:73"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  <c r="AV505" s="86"/>
      <c r="AW505" s="86"/>
      <c r="AX505" s="86"/>
      <c r="AY505" s="86"/>
      <c r="AZ505" s="86"/>
      <c r="BA505" s="86"/>
      <c r="BB505" s="86"/>
      <c r="BC505" s="86"/>
      <c r="BD505" s="86"/>
      <c r="BE505" s="86"/>
      <c r="BF505" s="86"/>
      <c r="BG505" s="86"/>
      <c r="BH505" s="86"/>
      <c r="BI505" s="86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  <c r="BT505" s="86"/>
      <c r="BU505" s="86"/>
    </row>
    <row r="506" spans="15:73"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  <c r="AV506" s="86"/>
      <c r="AW506" s="86"/>
      <c r="AX506" s="86"/>
      <c r="AY506" s="86"/>
      <c r="AZ506" s="86"/>
      <c r="BA506" s="86"/>
      <c r="BB506" s="86"/>
      <c r="BC506" s="86"/>
      <c r="BD506" s="86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  <c r="BT506" s="86"/>
      <c r="BU506" s="86"/>
    </row>
    <row r="507" spans="15:73"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  <c r="AV507" s="86"/>
      <c r="AW507" s="86"/>
      <c r="AX507" s="86"/>
      <c r="AY507" s="86"/>
      <c r="AZ507" s="86"/>
      <c r="BA507" s="86"/>
      <c r="BB507" s="86"/>
      <c r="BC507" s="86"/>
      <c r="BD507" s="86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  <c r="BT507" s="86"/>
      <c r="BU507" s="86"/>
    </row>
    <row r="508" spans="15:73"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  <c r="AV508" s="86"/>
      <c r="AW508" s="86"/>
      <c r="AX508" s="86"/>
      <c r="AY508" s="86"/>
      <c r="AZ508" s="86"/>
      <c r="BA508" s="86"/>
      <c r="BB508" s="86"/>
      <c r="BC508" s="86"/>
      <c r="BD508" s="86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  <c r="BT508" s="86"/>
      <c r="BU508" s="86"/>
    </row>
    <row r="509" spans="15:73"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6"/>
    </row>
    <row r="510" spans="15:73"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6"/>
    </row>
    <row r="511" spans="15:73"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6"/>
    </row>
    <row r="512" spans="15:73"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  <c r="AV512" s="86"/>
      <c r="AW512" s="86"/>
      <c r="AX512" s="86"/>
      <c r="AY512" s="86"/>
      <c r="AZ512" s="86"/>
      <c r="BA512" s="86"/>
      <c r="BB512" s="86"/>
      <c r="BC512" s="86"/>
      <c r="BD512" s="86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  <c r="BT512" s="86"/>
      <c r="BU512" s="86"/>
    </row>
    <row r="513" spans="15:73"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  <c r="AV513" s="86"/>
      <c r="AW513" s="86"/>
      <c r="AX513" s="86"/>
      <c r="AY513" s="86"/>
      <c r="AZ513" s="86"/>
      <c r="BA513" s="86"/>
      <c r="BB513" s="86"/>
      <c r="BC513" s="86"/>
      <c r="BD513" s="86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  <c r="BT513" s="86"/>
      <c r="BU513" s="86"/>
    </row>
    <row r="514" spans="15:73"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  <c r="AV514" s="86"/>
      <c r="AW514" s="86"/>
      <c r="AX514" s="86"/>
      <c r="AY514" s="86"/>
      <c r="AZ514" s="86"/>
      <c r="BA514" s="86"/>
      <c r="BB514" s="86"/>
      <c r="BC514" s="86"/>
      <c r="BD514" s="86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  <c r="BT514" s="86"/>
      <c r="BU514" s="86"/>
    </row>
    <row r="515" spans="15:73"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  <c r="AV515" s="86"/>
      <c r="AW515" s="86"/>
      <c r="AX515" s="86"/>
      <c r="AY515" s="86"/>
      <c r="AZ515" s="86"/>
      <c r="BA515" s="86"/>
      <c r="BB515" s="86"/>
      <c r="BC515" s="86"/>
      <c r="BD515" s="86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  <c r="BT515" s="86"/>
      <c r="BU515" s="86"/>
    </row>
    <row r="516" spans="15:73"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  <c r="AV516" s="86"/>
      <c r="AW516" s="86"/>
      <c r="AX516" s="86"/>
      <c r="AY516" s="86"/>
      <c r="AZ516" s="86"/>
      <c r="BA516" s="86"/>
      <c r="BB516" s="86"/>
      <c r="BC516" s="86"/>
      <c r="BD516" s="86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  <c r="BT516" s="86"/>
      <c r="BU516" s="86"/>
    </row>
    <row r="517" spans="15:73"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6"/>
    </row>
    <row r="518" spans="15:73"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6"/>
    </row>
    <row r="519" spans="15:73"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6"/>
    </row>
    <row r="520" spans="15:73"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6"/>
    </row>
    <row r="521" spans="15:73"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6"/>
    </row>
    <row r="522" spans="15:73"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6"/>
    </row>
    <row r="523" spans="15:73"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6"/>
    </row>
    <row r="524" spans="15:73"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6"/>
    </row>
    <row r="525" spans="15:73"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6"/>
    </row>
    <row r="526" spans="15:73"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6"/>
    </row>
    <row r="527" spans="15:73"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6"/>
    </row>
    <row r="528" spans="15:73"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6"/>
    </row>
    <row r="529" spans="15:73"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6"/>
    </row>
    <row r="530" spans="15:73"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6"/>
    </row>
    <row r="531" spans="15:73"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6"/>
    </row>
    <row r="532" spans="15:73"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6"/>
    </row>
    <row r="533" spans="15:73"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6"/>
    </row>
    <row r="534" spans="15:73"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6"/>
    </row>
    <row r="535" spans="15:73"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6"/>
    </row>
    <row r="536" spans="15:73"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6"/>
    </row>
    <row r="537" spans="15:73"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6"/>
    </row>
    <row r="538" spans="15:73"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6"/>
    </row>
    <row r="539" spans="15:73"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6"/>
    </row>
    <row r="540" spans="15:73"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6"/>
    </row>
    <row r="541" spans="15:73"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6"/>
    </row>
    <row r="542" spans="15:73"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6"/>
    </row>
    <row r="543" spans="15:73"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6"/>
    </row>
    <row r="544" spans="15:73"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6"/>
    </row>
    <row r="545" spans="15:73"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6"/>
    </row>
    <row r="546" spans="15:73"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6"/>
    </row>
    <row r="547" spans="15:73"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6"/>
    </row>
    <row r="548" spans="15:73"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6"/>
    </row>
    <row r="549" spans="15:73"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6"/>
    </row>
    <row r="550" spans="15:73"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6"/>
    </row>
    <row r="551" spans="15:73"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  <c r="AV551" s="86"/>
      <c r="AW551" s="86"/>
      <c r="AX551" s="86"/>
      <c r="AY551" s="86"/>
      <c r="AZ551" s="86"/>
      <c r="BA551" s="86"/>
      <c r="BB551" s="86"/>
      <c r="BC551" s="86"/>
      <c r="BD551" s="86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  <c r="BT551" s="86"/>
      <c r="BU551" s="86"/>
    </row>
    <row r="552" spans="15:73"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  <c r="AV552" s="86"/>
      <c r="AW552" s="86"/>
      <c r="AX552" s="86"/>
      <c r="AY552" s="86"/>
      <c r="AZ552" s="86"/>
      <c r="BA552" s="86"/>
      <c r="BB552" s="86"/>
      <c r="BC552" s="86"/>
      <c r="BD552" s="86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6"/>
      <c r="BQ552" s="86"/>
      <c r="BR552" s="86"/>
      <c r="BS552" s="86"/>
      <c r="BT552" s="86"/>
      <c r="BU552" s="86"/>
    </row>
    <row r="553" spans="15:73"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  <c r="AV553" s="86"/>
      <c r="AW553" s="86"/>
      <c r="AX553" s="86"/>
      <c r="AY553" s="86"/>
      <c r="AZ553" s="86"/>
      <c r="BA553" s="86"/>
      <c r="BB553" s="86"/>
      <c r="BC553" s="86"/>
      <c r="BD553" s="86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6"/>
      <c r="BQ553" s="86"/>
      <c r="BR553" s="86"/>
      <c r="BS553" s="86"/>
      <c r="BT553" s="86"/>
      <c r="BU553" s="86"/>
    </row>
    <row r="554" spans="15:73"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86"/>
      <c r="AC554" s="86"/>
      <c r="AD554" s="86"/>
      <c r="AE554" s="86"/>
      <c r="AF554" s="86"/>
      <c r="AG554" s="86"/>
      <c r="AH554" s="86"/>
      <c r="AI554" s="86"/>
      <c r="AJ554" s="86"/>
      <c r="AK554" s="86"/>
      <c r="AL554" s="86"/>
      <c r="AM554" s="86"/>
      <c r="AN554" s="86"/>
      <c r="AO554" s="86"/>
      <c r="AP554" s="86"/>
      <c r="AQ554" s="86"/>
      <c r="AR554" s="86"/>
      <c r="AS554" s="86"/>
      <c r="AT554" s="86"/>
      <c r="AU554" s="86"/>
      <c r="AV554" s="86"/>
      <c r="AW554" s="86"/>
      <c r="AX554" s="86"/>
      <c r="AY554" s="86"/>
      <c r="AZ554" s="86"/>
      <c r="BA554" s="86"/>
      <c r="BB554" s="86"/>
      <c r="BC554" s="86"/>
      <c r="BD554" s="86"/>
      <c r="BE554" s="86"/>
      <c r="BF554" s="86"/>
      <c r="BG554" s="86"/>
      <c r="BH554" s="86"/>
      <c r="BI554" s="86"/>
      <c r="BJ554" s="86"/>
      <c r="BK554" s="86"/>
      <c r="BL554" s="86"/>
      <c r="BM554" s="86"/>
      <c r="BN554" s="86"/>
      <c r="BO554" s="86"/>
      <c r="BP554" s="86"/>
      <c r="BQ554" s="86"/>
      <c r="BR554" s="86"/>
      <c r="BS554" s="86"/>
      <c r="BT554" s="86"/>
      <c r="BU554" s="86"/>
    </row>
  </sheetData>
  <dataConsolidate link="1"/>
  <phoneticPr fontId="43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8"/>
  <sheetViews>
    <sheetView showGridLines="0" zoomScale="85" zoomScaleNormal="85" workbookViewId="0"/>
  </sheetViews>
  <sheetFormatPr defaultColWidth="9.140625" defaultRowHeight="12.75"/>
  <cols>
    <col min="1" max="1" width="16" customWidth="1"/>
    <col min="2" max="2" width="12.42578125" bestFit="1" customWidth="1"/>
    <col min="3" max="3" width="13.42578125" bestFit="1" customWidth="1"/>
    <col min="4" max="4" width="11.140625" bestFit="1" customWidth="1"/>
    <col min="5" max="5" width="13.42578125" bestFit="1" customWidth="1"/>
    <col min="6" max="6" width="1.5703125" customWidth="1"/>
    <col min="7" max="7" width="14.42578125" bestFit="1" customWidth="1"/>
    <col min="8" max="9" width="13.42578125" bestFit="1" customWidth="1"/>
    <col min="10" max="10" width="10.5703125" customWidth="1"/>
    <col min="11" max="11" width="13.5703125" customWidth="1"/>
    <col min="12" max="12" width="11.5703125" bestFit="1" customWidth="1"/>
  </cols>
  <sheetData>
    <row r="1" spans="1:12" ht="14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4.25">
      <c r="A2" s="15"/>
      <c r="B2" s="196" t="s">
        <v>58</v>
      </c>
      <c r="C2" s="196"/>
      <c r="D2" s="196"/>
      <c r="E2" s="196"/>
      <c r="F2" s="15"/>
      <c r="G2" s="196" t="s">
        <v>59</v>
      </c>
      <c r="H2" s="196"/>
      <c r="I2" s="196"/>
      <c r="J2" s="15"/>
    </row>
    <row r="3" spans="1:12" ht="14.25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2" ht="14.25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2" ht="14.25">
      <c r="A5" s="15"/>
      <c r="B5" s="197" t="s">
        <v>67</v>
      </c>
      <c r="C5" s="197"/>
      <c r="D5" s="197"/>
      <c r="E5" s="197"/>
      <c r="F5" s="197"/>
      <c r="G5" s="197"/>
      <c r="H5" s="197"/>
      <c r="I5" s="197"/>
      <c r="J5" s="197"/>
    </row>
    <row r="6" spans="1:12" ht="14.25">
      <c r="A6" s="15" t="s">
        <v>37</v>
      </c>
      <c r="B6" s="38">
        <v>310.92700000000002</v>
      </c>
      <c r="C6" s="39">
        <f>C23</f>
        <v>52493.097999999998</v>
      </c>
      <c r="D6" s="39">
        <f>D23</f>
        <v>632.09806422399993</v>
      </c>
      <c r="E6" s="28">
        <f>SUM(B6:D6)</f>
        <v>53436.123064224004</v>
      </c>
      <c r="F6" s="39"/>
      <c r="G6" s="39">
        <f>E6-H6-J6</f>
        <v>38401.723957986855</v>
      </c>
      <c r="H6" s="39">
        <f>H23</f>
        <v>14663.508106237146</v>
      </c>
      <c r="I6" s="39">
        <f>E6-J6</f>
        <v>53065.232064224001</v>
      </c>
      <c r="J6" s="39">
        <f>J22</f>
        <v>370.89100000000002</v>
      </c>
    </row>
    <row r="7" spans="1:12" ht="16.5">
      <c r="A7" s="15" t="s">
        <v>165</v>
      </c>
      <c r="B7" s="38">
        <f>J6</f>
        <v>370.89100000000002</v>
      </c>
      <c r="C7" s="39">
        <v>54254.108999999997</v>
      </c>
      <c r="D7" s="39">
        <v>600</v>
      </c>
      <c r="E7" s="28">
        <f>SUM(B7:D7)</f>
        <v>55225</v>
      </c>
      <c r="F7" s="39"/>
      <c r="G7" s="39">
        <v>39025</v>
      </c>
      <c r="H7" s="39">
        <v>15800</v>
      </c>
      <c r="I7" s="39">
        <f>SUM(G7:H7)</f>
        <v>54825</v>
      </c>
      <c r="J7" s="39">
        <f>E7-I7</f>
        <v>400</v>
      </c>
      <c r="K7" s="186"/>
      <c r="L7" s="187"/>
    </row>
    <row r="8" spans="1:12" ht="16.5">
      <c r="A8" s="15" t="s">
        <v>166</v>
      </c>
      <c r="B8" s="38">
        <f>J7</f>
        <v>400</v>
      </c>
      <c r="C8" s="39">
        <v>57075</v>
      </c>
      <c r="D8" s="39">
        <v>600</v>
      </c>
      <c r="E8" s="28">
        <f>SUM(B8:D8)</f>
        <v>58075</v>
      </c>
      <c r="F8" s="39"/>
      <c r="G8" s="39">
        <v>40325</v>
      </c>
      <c r="H8" s="39">
        <v>17300</v>
      </c>
      <c r="I8" s="39">
        <f>SUM(G8:H8)</f>
        <v>57625</v>
      </c>
      <c r="J8" s="39">
        <f>E8-I8</f>
        <v>450</v>
      </c>
      <c r="L8" s="188"/>
    </row>
    <row r="9" spans="1:12" ht="14.25">
      <c r="A9" s="15"/>
      <c r="B9" s="40"/>
      <c r="C9" s="40"/>
      <c r="D9" s="40"/>
      <c r="E9" s="40"/>
      <c r="F9" s="40"/>
      <c r="G9" s="39"/>
      <c r="H9" s="40"/>
      <c r="I9" s="40"/>
      <c r="J9" s="40"/>
    </row>
    <row r="10" spans="1:12" ht="15">
      <c r="A10" s="31" t="s">
        <v>37</v>
      </c>
      <c r="B10" s="41"/>
      <c r="C10" s="6"/>
      <c r="D10" s="6"/>
      <c r="E10" s="6"/>
      <c r="F10" s="6"/>
      <c r="G10" s="6"/>
      <c r="H10" s="6"/>
      <c r="I10" s="6"/>
      <c r="J10" s="6"/>
    </row>
    <row r="11" spans="1:12" ht="14.25">
      <c r="A11" s="15" t="s">
        <v>39</v>
      </c>
      <c r="B11" s="41">
        <f>J6</f>
        <v>370.89100000000002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5032.1688571759996</v>
      </c>
      <c r="F11" s="6"/>
      <c r="G11" s="6">
        <f>I11-H11</f>
        <v>3699.8904505289997</v>
      </c>
      <c r="H11" s="6">
        <f>(865513.7*1.10231)/1000</f>
        <v>954.06440664699983</v>
      </c>
      <c r="I11" s="5">
        <f>E11-J11</f>
        <v>4653.9548571759997</v>
      </c>
      <c r="J11" s="6">
        <v>378.214</v>
      </c>
      <c r="K11" s="87"/>
      <c r="L11" s="89"/>
    </row>
    <row r="12" spans="1:12" ht="14.25">
      <c r="A12" s="15" t="s">
        <v>40</v>
      </c>
      <c r="B12" s="41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3367.700833154001</v>
      </c>
      <c r="H12" s="6">
        <f>(1079708.1*1.10231)/1000</f>
        <v>1190.173035711</v>
      </c>
      <c r="I12" s="5">
        <f t="shared" ref="I12:I22" si="3">E12-J12</f>
        <v>4557.873868865001</v>
      </c>
      <c r="J12" s="6">
        <v>349.10500000000002</v>
      </c>
      <c r="K12" s="87"/>
      <c r="L12" s="89"/>
    </row>
    <row r="13" spans="1:12" ht="14.25">
      <c r="A13" s="15" t="s">
        <v>42</v>
      </c>
      <c r="B13" s="41">
        <f t="shared" si="1"/>
        <v>349.10500000000002</v>
      </c>
      <c r="C13" s="6">
        <v>4437.4089999999997</v>
      </c>
      <c r="D13" s="6">
        <f>(32194.3*1.10231)/1000</f>
        <v>35.488098832999995</v>
      </c>
      <c r="E13" s="6">
        <f t="shared" si="0"/>
        <v>4822.0020988329989</v>
      </c>
      <c r="F13" s="6"/>
      <c r="G13" s="6">
        <f t="shared" si="2"/>
        <v>3173.9462998459985</v>
      </c>
      <c r="H13" s="6">
        <f>(1081527.7*1.10231)/1000</f>
        <v>1192.1787989869997</v>
      </c>
      <c r="I13" s="5">
        <f t="shared" si="3"/>
        <v>4366.1250988329984</v>
      </c>
      <c r="J13" s="6">
        <v>455.87700000000001</v>
      </c>
      <c r="K13" s="87"/>
      <c r="L13" s="89"/>
    </row>
    <row r="14" spans="1:12" ht="14.25">
      <c r="A14" s="15" t="s">
        <v>43</v>
      </c>
      <c r="B14" s="41">
        <f t="shared" si="1"/>
        <v>455.87700000000001</v>
      </c>
      <c r="C14" s="6">
        <v>4540.9090000000006</v>
      </c>
      <c r="D14" s="6">
        <f>(87357.8*1.10231)/1000</f>
        <v>96.295376517999983</v>
      </c>
      <c r="E14" s="6">
        <f t="shared" si="0"/>
        <v>5093.081376518001</v>
      </c>
      <c r="F14" s="6"/>
      <c r="G14" s="6">
        <f t="shared" si="2"/>
        <v>3101.8863894670012</v>
      </c>
      <c r="H14" s="6">
        <f>(1404622.1*1.10231)/1000</f>
        <v>1548.3289870509998</v>
      </c>
      <c r="I14" s="5">
        <f t="shared" si="3"/>
        <v>4650.215376518001</v>
      </c>
      <c r="J14" s="6">
        <v>442.86599999999999</v>
      </c>
      <c r="K14" s="87"/>
      <c r="L14" s="89"/>
    </row>
    <row r="15" spans="1:12" ht="14.25">
      <c r="A15" s="15" t="s">
        <v>44</v>
      </c>
      <c r="B15" s="41">
        <f t="shared" si="1"/>
        <v>442.86599999999999</v>
      </c>
      <c r="C15" s="6">
        <v>4197.5839999999998</v>
      </c>
      <c r="D15" s="6">
        <f>(40187.2*1.10231)/1000</f>
        <v>44.298752431999993</v>
      </c>
      <c r="E15" s="6">
        <f t="shared" si="0"/>
        <v>4684.7487524319995</v>
      </c>
      <c r="F15" s="6"/>
      <c r="G15" s="6">
        <f t="shared" si="2"/>
        <v>3189.261751647</v>
      </c>
      <c r="H15" s="6">
        <f>(925173.5*1.10231)/1000</f>
        <v>1019.828000785</v>
      </c>
      <c r="I15" s="5">
        <f t="shared" si="3"/>
        <v>4209.0897524319998</v>
      </c>
      <c r="J15" s="6">
        <v>475.65899999999999</v>
      </c>
      <c r="K15" s="87"/>
      <c r="L15" s="89"/>
    </row>
    <row r="16" spans="1:12" ht="14.25">
      <c r="A16" s="15" t="s">
        <v>46</v>
      </c>
      <c r="B16" s="41">
        <f t="shared" si="1"/>
        <v>475.65899999999999</v>
      </c>
      <c r="C16" s="6">
        <v>4698.1610000000001</v>
      </c>
      <c r="D16" s="6">
        <f>(43410.1*1.10231)/1000</f>
        <v>47.851387330999991</v>
      </c>
      <c r="E16" s="6">
        <f t="shared" si="0"/>
        <v>5221.671387331</v>
      </c>
      <c r="F16" s="6"/>
      <c r="G16" s="6">
        <f t="shared" si="2"/>
        <v>3369.7769356149997</v>
      </c>
      <c r="H16" s="6">
        <f>(1336143.6*1.10231)/1000</f>
        <v>1472.8444517160001</v>
      </c>
      <c r="I16" s="5">
        <f t="shared" si="3"/>
        <v>4842.6213873309998</v>
      </c>
      <c r="J16" s="6">
        <v>379.04999999999995</v>
      </c>
      <c r="K16" s="87"/>
      <c r="L16" s="89"/>
    </row>
    <row r="17" spans="1:13" ht="14.25">
      <c r="A17" s="15" t="s">
        <v>47</v>
      </c>
      <c r="B17" s="41">
        <f t="shared" si="1"/>
        <v>379.04999999999995</v>
      </c>
      <c r="C17" s="6">
        <v>4433.6350000000002</v>
      </c>
      <c r="D17" s="6">
        <f>(25951.8*1.10231)/1000</f>
        <v>28.606928657999998</v>
      </c>
      <c r="E17" s="6">
        <f t="shared" si="0"/>
        <v>4841.291928658</v>
      </c>
      <c r="F17" s="6"/>
      <c r="G17" s="6">
        <f t="shared" si="2"/>
        <v>3019.334526696</v>
      </c>
      <c r="H17" s="6">
        <f>(1128650.2*1.10231)/1000</f>
        <v>1244.1224019619999</v>
      </c>
      <c r="I17" s="5">
        <f t="shared" si="3"/>
        <v>4263.4569286579999</v>
      </c>
      <c r="J17" s="6">
        <v>577.83499999999992</v>
      </c>
      <c r="K17" s="87"/>
      <c r="L17" s="89"/>
    </row>
    <row r="18" spans="1:13" ht="14.25">
      <c r="A18" s="15" t="s">
        <v>48</v>
      </c>
      <c r="B18" s="41">
        <f>J17</f>
        <v>577.83499999999992</v>
      </c>
      <c r="C18" s="6">
        <v>4461.268</v>
      </c>
      <c r="D18" s="6">
        <f>(50047.9*1.10231)/1000</f>
        <v>55.168300648999995</v>
      </c>
      <c r="E18" s="6">
        <f t="shared" si="0"/>
        <v>5094.2713006490003</v>
      </c>
      <c r="F18" s="6"/>
      <c r="G18" s="6">
        <f t="shared" si="2"/>
        <v>3474.6210888970008</v>
      </c>
      <c r="H18" s="6">
        <f>(1080559.2*1.10231)/1000</f>
        <v>1191.1112117519997</v>
      </c>
      <c r="I18" s="5">
        <f t="shared" si="3"/>
        <v>4665.7323006490005</v>
      </c>
      <c r="J18" s="6">
        <v>428.53899999999999</v>
      </c>
      <c r="K18" s="87"/>
      <c r="L18" s="89"/>
    </row>
    <row r="19" spans="1:13" ht="14.25">
      <c r="A19" s="15" t="s">
        <v>50</v>
      </c>
      <c r="B19" s="41">
        <f>J18</f>
        <v>428.53899999999999</v>
      </c>
      <c r="C19" s="6">
        <v>4152.3280000000004</v>
      </c>
      <c r="D19" s="6">
        <f>(47135.7*1.10231)/1000</f>
        <v>51.958153466999988</v>
      </c>
      <c r="E19" s="6">
        <f t="shared" si="0"/>
        <v>4632.8251534669998</v>
      </c>
      <c r="F19" s="6"/>
      <c r="G19" s="6">
        <f t="shared" si="2"/>
        <v>2878.4011494959996</v>
      </c>
      <c r="H19" s="6">
        <f>(1259954.1*1.10231)/1000</f>
        <v>1388.860003971</v>
      </c>
      <c r="I19" s="5">
        <f>E19-J19</f>
        <v>4267.2611534669995</v>
      </c>
      <c r="J19" s="6">
        <v>365.56400000000002</v>
      </c>
      <c r="K19" s="87"/>
    </row>
    <row r="20" spans="1:13" ht="14.25">
      <c r="A20" s="15" t="s">
        <v>51</v>
      </c>
      <c r="B20" s="41">
        <f>J19</f>
        <v>365.56400000000002</v>
      </c>
      <c r="C20" s="6">
        <v>4362.93</v>
      </c>
      <c r="D20" s="6">
        <f>(44990.2*1.10231)/1000</f>
        <v>49.593147361999989</v>
      </c>
      <c r="E20" s="6">
        <f t="shared" si="0"/>
        <v>4778.0871473620009</v>
      </c>
      <c r="F20" s="6"/>
      <c r="G20" s="6">
        <f>I20-H20</f>
        <v>3114.3274682730016</v>
      </c>
      <c r="H20" s="6">
        <f>(1083371.9*1.10231)/1000</f>
        <v>1194.2116790889997</v>
      </c>
      <c r="I20" s="5">
        <f t="shared" si="3"/>
        <v>4308.5391473620011</v>
      </c>
      <c r="J20" s="6">
        <v>469.548</v>
      </c>
      <c r="K20" s="87"/>
    </row>
    <row r="21" spans="1:13" ht="14.25">
      <c r="A21" s="15" t="s">
        <v>52</v>
      </c>
      <c r="B21" s="41">
        <f>J20</f>
        <v>469.548</v>
      </c>
      <c r="C21" s="6">
        <v>4029.8919999999998</v>
      </c>
      <c r="D21" s="6">
        <f>(49385.1*1.10231)/1000</f>
        <v>54.437689580999994</v>
      </c>
      <c r="E21" s="6">
        <f t="shared" si="0"/>
        <v>4553.8776895809997</v>
      </c>
      <c r="F21" s="6"/>
      <c r="G21" s="6">
        <f t="shared" ref="G21:G22" si="4">I21-H21</f>
        <v>3059.2082030979991</v>
      </c>
      <c r="H21" s="6">
        <f>(1068509.3*1.10231)/1000</f>
        <v>1177.828486483</v>
      </c>
      <c r="I21" s="5">
        <f t="shared" si="3"/>
        <v>4237.0366895809993</v>
      </c>
      <c r="J21" s="6">
        <v>316.84100000000001</v>
      </c>
      <c r="K21" s="87"/>
    </row>
    <row r="22" spans="1:13" ht="14.25">
      <c r="A22" s="15" t="s">
        <v>38</v>
      </c>
      <c r="B22" s="41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3013.3502875580007</v>
      </c>
      <c r="H22" s="6">
        <f>(988777.5*1.10231)/1000</f>
        <v>1089.9393260249999</v>
      </c>
      <c r="I22" s="5">
        <f t="shared" si="3"/>
        <v>4103.2896135830006</v>
      </c>
      <c r="J22" s="6">
        <v>370.89100000000002</v>
      </c>
      <c r="K22" s="90"/>
    </row>
    <row r="23" spans="1:13" ht="14.25">
      <c r="A23" s="15" t="s">
        <v>28</v>
      </c>
      <c r="B23" s="41"/>
      <c r="C23" s="6">
        <f>SUM(C11:C22)</f>
        <v>52493.097999999998</v>
      </c>
      <c r="D23" s="6">
        <f>(573430.4*1.10231)/1000</f>
        <v>632.09806422399993</v>
      </c>
      <c r="E23" s="6">
        <f>B11+C23+D23</f>
        <v>53496.087064224004</v>
      </c>
      <c r="F23" s="6"/>
      <c r="G23" s="6">
        <f>SUM(G11:G22)</f>
        <v>38461.705384276</v>
      </c>
      <c r="H23" s="6">
        <f>(13302510.8*1.10231131)/1000</f>
        <v>14663.508106237146</v>
      </c>
      <c r="I23" s="5">
        <f>SUM(I11:I22)</f>
        <v>53125.196174455006</v>
      </c>
      <c r="J23" s="6"/>
      <c r="K23" s="87"/>
    </row>
    <row r="24" spans="1:13" ht="14.25">
      <c r="A24" s="15"/>
      <c r="B24" s="41"/>
      <c r="C24" s="6"/>
      <c r="D24" s="6"/>
      <c r="E24" s="6"/>
      <c r="F24" s="6"/>
      <c r="G24" s="6"/>
      <c r="H24" s="6"/>
      <c r="I24" s="6"/>
      <c r="J24" s="6"/>
      <c r="K24" s="87"/>
    </row>
    <row r="25" spans="1:13" ht="15">
      <c r="A25" s="31" t="s">
        <v>54</v>
      </c>
      <c r="B25" s="41"/>
      <c r="C25" s="6"/>
      <c r="D25" s="6"/>
      <c r="E25" s="6"/>
      <c r="F25" s="6"/>
      <c r="G25" s="6"/>
      <c r="H25" s="6"/>
      <c r="I25" s="6"/>
      <c r="J25" s="6"/>
      <c r="K25" s="87"/>
    </row>
    <row r="26" spans="1:13" ht="14.25">
      <c r="A26" s="15" t="s">
        <v>39</v>
      </c>
      <c r="B26" s="110">
        <f>J22</f>
        <v>370.89100000000002</v>
      </c>
      <c r="C26" s="111">
        <v>4738.4830000000002</v>
      </c>
      <c r="D26" s="6">
        <f>(43328.6*1.10231)/1000</f>
        <v>47.761549065999994</v>
      </c>
      <c r="E26" s="6">
        <f t="shared" ref="E26:E31" si="5">SUM(B26:D26)</f>
        <v>5157.1355490659998</v>
      </c>
      <c r="F26" s="6"/>
      <c r="G26" s="6">
        <f t="shared" ref="G26:G31" si="6">I26-H26</f>
        <v>3508.2654674079995</v>
      </c>
      <c r="H26" s="6">
        <f>(1192251.8*1.10231)/1000</f>
        <v>1314.231081658</v>
      </c>
      <c r="I26" s="103">
        <f t="shared" ref="I26:I31" si="7">E26-J26</f>
        <v>4822.4965490659997</v>
      </c>
      <c r="J26" s="111">
        <v>334.63900000000001</v>
      </c>
      <c r="K26" s="87"/>
    </row>
    <row r="27" spans="1:13" ht="14.25">
      <c r="A27" s="15" t="s">
        <v>40</v>
      </c>
      <c r="B27" s="41">
        <f>J26</f>
        <v>334.63900000000001</v>
      </c>
      <c r="C27" s="6">
        <v>4706.2079999999996</v>
      </c>
      <c r="D27" s="6">
        <f>(48386*1.10231)/1000</f>
        <v>53.336371659999998</v>
      </c>
      <c r="E27" s="6">
        <f t="shared" si="5"/>
        <v>5094.1833716599995</v>
      </c>
      <c r="F27" s="6"/>
      <c r="G27" s="6">
        <f t="shared" si="6"/>
        <v>3323.0084968819997</v>
      </c>
      <c r="H27" s="6">
        <f>(1330603.8*1.10231)/1000</f>
        <v>1466.7378747779999</v>
      </c>
      <c r="I27" s="6">
        <f t="shared" si="7"/>
        <v>4789.7463716599996</v>
      </c>
      <c r="J27" s="6">
        <v>304.43700000000001</v>
      </c>
      <c r="K27" s="87"/>
    </row>
    <row r="28" spans="1:13" ht="14.25">
      <c r="A28" s="15" t="s">
        <v>42</v>
      </c>
      <c r="B28" s="41">
        <f>J27</f>
        <v>304.43700000000001</v>
      </c>
      <c r="C28" s="6">
        <v>4818.3419999999996</v>
      </c>
      <c r="D28" s="107">
        <f>(53080.8*1.10231)/1000</f>
        <v>58.511496647999998</v>
      </c>
      <c r="E28" s="107">
        <f t="shared" si="5"/>
        <v>5181.2904966479991</v>
      </c>
      <c r="F28" s="107"/>
      <c r="G28" s="107">
        <f t="shared" si="6"/>
        <v>3083.7882748589991</v>
      </c>
      <c r="H28" s="107">
        <f>(1448541.9*1.10231)/1000</f>
        <v>1596.7422217889998</v>
      </c>
      <c r="I28" s="107">
        <f t="shared" si="7"/>
        <v>4680.5304966479989</v>
      </c>
      <c r="J28" s="6">
        <v>500.76</v>
      </c>
      <c r="K28" s="87"/>
      <c r="L28" s="35"/>
    </row>
    <row r="29" spans="1:13" ht="14.25">
      <c r="A29" s="15" t="s">
        <v>43</v>
      </c>
      <c r="B29" s="41">
        <f>J28</f>
        <v>500.76</v>
      </c>
      <c r="C29" s="6">
        <v>4595.6220000000003</v>
      </c>
      <c r="D29" s="107">
        <f>(53674.5*1.10231)/1000</f>
        <v>59.165938094999994</v>
      </c>
      <c r="E29" s="107">
        <f t="shared" si="5"/>
        <v>5155.5479380950001</v>
      </c>
      <c r="F29" s="107"/>
      <c r="G29" s="107">
        <f t="shared" si="6"/>
        <v>3288.6776487350007</v>
      </c>
      <c r="H29" s="107">
        <f>(1376056*1.10231)/1000</f>
        <v>1516.8402893599998</v>
      </c>
      <c r="I29" s="107">
        <f t="shared" si="7"/>
        <v>4805.5179380950003</v>
      </c>
      <c r="J29" s="6">
        <v>350.03</v>
      </c>
      <c r="K29" s="87"/>
      <c r="L29" s="35"/>
      <c r="M29" s="96"/>
    </row>
    <row r="30" spans="1:13" ht="14.25">
      <c r="A30" s="15" t="s">
        <v>44</v>
      </c>
      <c r="B30" s="41">
        <f>J29</f>
        <v>350.03</v>
      </c>
      <c r="C30" s="6">
        <v>4557.0920000000006</v>
      </c>
      <c r="D30" s="107">
        <f>(57158.1*1.10231)/1000</f>
        <v>63.00594521099999</v>
      </c>
      <c r="E30" s="107">
        <f t="shared" si="5"/>
        <v>4970.1279452110002</v>
      </c>
      <c r="F30" s="107"/>
      <c r="G30" s="107">
        <f t="shared" si="6"/>
        <v>3138.4475940110005</v>
      </c>
      <c r="H30" s="107">
        <f>(1365520*1.10231)/1000</f>
        <v>1505.2263512</v>
      </c>
      <c r="I30" s="107">
        <f t="shared" si="7"/>
        <v>4643.6739452110005</v>
      </c>
      <c r="J30" s="6">
        <v>326.45400000000001</v>
      </c>
      <c r="K30" s="87"/>
      <c r="L30" s="35"/>
      <c r="M30" s="159"/>
    </row>
    <row r="31" spans="1:13" ht="14.25">
      <c r="A31" s="15" t="s">
        <v>46</v>
      </c>
      <c r="B31" s="41">
        <f>J30</f>
        <v>326.45400000000001</v>
      </c>
      <c r="C31" s="6">
        <v>4797.4049999999997</v>
      </c>
      <c r="D31" s="107">
        <f>(52412.6*1.10231)/1000</f>
        <v>57.774933105999999</v>
      </c>
      <c r="E31" s="107">
        <f t="shared" si="5"/>
        <v>5181.6339331059999</v>
      </c>
      <c r="F31" s="107"/>
      <c r="G31" s="107">
        <f t="shared" si="6"/>
        <v>2969.6472166559997</v>
      </c>
      <c r="H31" s="107">
        <f>(1498795*1.10231)/1000</f>
        <v>1652.13671645</v>
      </c>
      <c r="I31" s="107">
        <f t="shared" si="7"/>
        <v>4621.7839331059995</v>
      </c>
      <c r="J31" s="6">
        <v>559.85</v>
      </c>
      <c r="K31" s="87"/>
      <c r="L31" s="35"/>
      <c r="M31" s="159"/>
    </row>
    <row r="32" spans="1:13" ht="16.5">
      <c r="A32" s="82" t="s">
        <v>68</v>
      </c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14.25">
      <c r="A33" s="15" t="s">
        <v>69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14.25">
      <c r="A34" s="20" t="s">
        <v>57</v>
      </c>
      <c r="B34" s="37">
        <f>Contents!A16</f>
        <v>45426</v>
      </c>
      <c r="C34" s="34"/>
      <c r="D34" s="29"/>
      <c r="E34" s="29"/>
      <c r="F34" s="29"/>
      <c r="G34" s="29"/>
      <c r="H34" s="29"/>
      <c r="I34" s="29"/>
      <c r="J34" s="29"/>
    </row>
    <row r="35" spans="1:10">
      <c r="B35" s="43"/>
      <c r="C35" s="44"/>
      <c r="D35" s="43"/>
      <c r="E35" s="84"/>
      <c r="F35" s="43"/>
      <c r="G35" s="43"/>
      <c r="H35" s="45"/>
      <c r="I35" s="84"/>
      <c r="J35" s="43"/>
    </row>
    <row r="36" spans="1:10">
      <c r="B36" s="43"/>
      <c r="C36" s="43"/>
      <c r="D36" s="43"/>
      <c r="E36" s="43"/>
      <c r="F36" s="43"/>
      <c r="G36" s="43"/>
      <c r="H36" s="43"/>
      <c r="I36" s="43"/>
      <c r="J36" s="43"/>
    </row>
    <row r="37" spans="1:10">
      <c r="G37" s="35"/>
    </row>
    <row r="38" spans="1:10">
      <c r="G38" s="94"/>
    </row>
  </sheetData>
  <mergeCells count="3">
    <mergeCell ref="G2:I2"/>
    <mergeCell ref="B5:J5"/>
    <mergeCell ref="B2:E2"/>
  </mergeCells>
  <phoneticPr fontId="43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6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140625" defaultRowHeight="12.75"/>
  <cols>
    <col min="1" max="1" width="15.42578125" customWidth="1"/>
    <col min="2" max="2" width="12.42578125" bestFit="1" customWidth="1"/>
    <col min="3" max="3" width="12.140625" bestFit="1" customWidth="1"/>
    <col min="4" max="4" width="11" bestFit="1" customWidth="1"/>
    <col min="5" max="5" width="12.42578125" customWidth="1"/>
    <col min="6" max="6" width="3.5703125" customWidth="1"/>
    <col min="7" max="7" width="11.5703125" bestFit="1" customWidth="1"/>
    <col min="8" max="8" width="12.42578125" customWidth="1"/>
    <col min="9" max="9" width="12.5703125" customWidth="1"/>
    <col min="10" max="10" width="9.5703125" bestFit="1" customWidth="1"/>
    <col min="11" max="11" width="11.5703125" bestFit="1" customWidth="1"/>
    <col min="12" max="12" width="12.5703125" bestFit="1" customWidth="1"/>
    <col min="14" max="14" width="11.140625" customWidth="1"/>
  </cols>
  <sheetData>
    <row r="1" spans="1:20" ht="14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4.25">
      <c r="A2" s="15"/>
      <c r="B2" s="196" t="s">
        <v>58</v>
      </c>
      <c r="C2" s="196"/>
      <c r="D2" s="196"/>
      <c r="E2" s="196"/>
      <c r="F2" s="15"/>
      <c r="G2" s="196" t="s">
        <v>59</v>
      </c>
      <c r="H2" s="196"/>
      <c r="I2" s="196"/>
      <c r="J2" s="133"/>
      <c r="K2" s="133"/>
      <c r="L2" s="15"/>
    </row>
    <row r="3" spans="1:20" ht="14.25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33" t="s">
        <v>64</v>
      </c>
      <c r="H3" s="133"/>
      <c r="I3" s="133"/>
      <c r="J3" s="17" t="s">
        <v>72</v>
      </c>
      <c r="K3" s="17" t="s">
        <v>63</v>
      </c>
      <c r="L3" s="17" t="s">
        <v>60</v>
      </c>
    </row>
    <row r="4" spans="1:20" ht="16.5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25">
      <c r="A5" s="15"/>
      <c r="B5" s="198" t="s">
        <v>75</v>
      </c>
      <c r="C5" s="198"/>
      <c r="D5" s="199"/>
      <c r="E5" s="198"/>
      <c r="F5" s="198"/>
      <c r="G5" s="198"/>
      <c r="H5" s="198"/>
      <c r="I5" s="198"/>
      <c r="J5" s="198"/>
      <c r="K5" s="198"/>
      <c r="L5" s="198"/>
    </row>
    <row r="6" spans="1:20" ht="16.5">
      <c r="A6" s="15" t="s">
        <v>35</v>
      </c>
      <c r="B6" s="40">
        <v>1991.1479999999999</v>
      </c>
      <c r="C6" s="40">
        <f>C23</f>
        <v>26227.309000000001</v>
      </c>
      <c r="D6" s="158">
        <f>D23</f>
        <v>375.69933535679996</v>
      </c>
      <c r="E6" s="40">
        <f>E23</f>
        <v>28210.080335356801</v>
      </c>
      <c r="F6" s="40"/>
      <c r="G6" s="40">
        <f>K6-J6</f>
        <v>26224.934401643801</v>
      </c>
      <c r="H6" s="40">
        <f>H23</f>
        <v>12490.714000000002</v>
      </c>
      <c r="I6" s="28">
        <f>G6-H6</f>
        <v>13734.220401643799</v>
      </c>
      <c r="J6" s="40">
        <f>J23</f>
        <v>378.07393371299997</v>
      </c>
      <c r="K6" s="40">
        <f>E6-L6</f>
        <v>26603.008335356801</v>
      </c>
      <c r="L6" s="40">
        <f>L22</f>
        <v>1607.0719999999999</v>
      </c>
    </row>
    <row r="7" spans="1:20" ht="16.5">
      <c r="A7" s="15" t="s">
        <v>36</v>
      </c>
      <c r="B7" s="40">
        <f>L6</f>
        <v>1607.0719999999999</v>
      </c>
      <c r="C7" s="40">
        <v>27070</v>
      </c>
      <c r="D7" s="158">
        <v>550</v>
      </c>
      <c r="E7" s="40">
        <f>SUM(B7:D7)</f>
        <v>29227.072</v>
      </c>
      <c r="F7" s="40"/>
      <c r="G7" s="40">
        <f>SUM(H7:I7)</f>
        <v>27200</v>
      </c>
      <c r="H7" s="40">
        <v>13000</v>
      </c>
      <c r="I7" s="28">
        <v>14200</v>
      </c>
      <c r="J7" s="40">
        <v>350</v>
      </c>
      <c r="K7" s="40">
        <f>G7+J7</f>
        <v>27550</v>
      </c>
      <c r="L7" s="40">
        <f>E7-K7</f>
        <v>1677.0720000000001</v>
      </c>
      <c r="M7" s="186"/>
      <c r="N7" s="186"/>
      <c r="O7" s="186"/>
      <c r="P7" s="186"/>
      <c r="Q7" s="186"/>
      <c r="R7" s="186"/>
      <c r="S7" s="186"/>
      <c r="T7" s="186"/>
    </row>
    <row r="8" spans="1:20" ht="16.5">
      <c r="A8" s="15" t="s">
        <v>166</v>
      </c>
      <c r="B8" s="40">
        <f>L7</f>
        <v>1677.0720000000001</v>
      </c>
      <c r="C8" s="40">
        <v>28515</v>
      </c>
      <c r="D8" s="158">
        <v>450</v>
      </c>
      <c r="E8" s="40">
        <f>SUM(B8:D8)</f>
        <v>30642.072</v>
      </c>
      <c r="F8" s="40"/>
      <c r="G8" s="40">
        <v>28300</v>
      </c>
      <c r="H8" s="40">
        <v>14000</v>
      </c>
      <c r="I8" s="28">
        <v>14300</v>
      </c>
      <c r="J8" s="40">
        <v>500</v>
      </c>
      <c r="K8" s="40">
        <f>G8+J8</f>
        <v>28800</v>
      </c>
      <c r="L8" s="40">
        <f>E8-K8</f>
        <v>1842.0720000000001</v>
      </c>
    </row>
    <row r="9" spans="1:20" ht="14.25">
      <c r="A9" s="15"/>
      <c r="B9" s="40"/>
      <c r="C9" s="40"/>
      <c r="D9" s="40"/>
      <c r="E9" s="40"/>
      <c r="F9" s="40"/>
      <c r="G9" s="40"/>
      <c r="H9" s="40"/>
      <c r="I9" s="81"/>
      <c r="J9" s="40"/>
      <c r="K9" s="40"/>
      <c r="L9" s="40"/>
    </row>
    <row r="10" spans="1:20" ht="15">
      <c r="A10" s="31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4.25">
      <c r="A11" s="15" t="s">
        <v>39</v>
      </c>
      <c r="B11" s="5">
        <f>L6</f>
        <v>1607.0719999999999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3974.9004372508002</v>
      </c>
      <c r="F11" s="5"/>
      <c r="G11" s="5">
        <f>K11-J11</f>
        <v>1857.7417746276001</v>
      </c>
      <c r="H11" s="109">
        <v>906.40899999999999</v>
      </c>
      <c r="I11" s="6">
        <f t="shared" ref="I11:I17" si="1">G11-H11</f>
        <v>951.33277462760009</v>
      </c>
      <c r="J11" s="6">
        <f>(10675.6*2204.622)/1000000</f>
        <v>23.5356626232</v>
      </c>
      <c r="K11" s="6">
        <f t="shared" ref="K11:K17" si="2">E11-L11</f>
        <v>1881.2774372508002</v>
      </c>
      <c r="L11" s="5">
        <v>2093.623</v>
      </c>
      <c r="N11" s="89"/>
    </row>
    <row r="12" spans="1:20" ht="14.25">
      <c r="A12" s="15" t="s">
        <v>40</v>
      </c>
      <c r="B12" s="5">
        <f t="shared" ref="B12:B18" si="3">L11</f>
        <v>2093.623</v>
      </c>
      <c r="C12" s="6">
        <v>2199.962</v>
      </c>
      <c r="D12" s="6">
        <f>(11744.6*2204.622)/1000000</f>
        <v>25.8924035412</v>
      </c>
      <c r="E12" s="6">
        <f t="shared" si="0"/>
        <v>4319.4774035412001</v>
      </c>
      <c r="F12" s="5"/>
      <c r="G12" s="5">
        <f t="shared" ref="G12:G18" si="4">K12-J12</f>
        <v>2183.7493667224003</v>
      </c>
      <c r="H12" s="109">
        <v>943.34199999999998</v>
      </c>
      <c r="I12" s="6">
        <f t="shared" si="1"/>
        <v>1240.4073667224002</v>
      </c>
      <c r="J12" s="6">
        <f>(10635.4*2204.622)/1000000</f>
        <v>23.447036818799997</v>
      </c>
      <c r="K12" s="6">
        <f t="shared" si="2"/>
        <v>2207.1964035412002</v>
      </c>
      <c r="L12" s="5">
        <v>2112.2809999999999</v>
      </c>
      <c r="N12" s="89"/>
    </row>
    <row r="13" spans="1:20" ht="14.25">
      <c r="A13" s="15" t="s">
        <v>42</v>
      </c>
      <c r="B13" s="5">
        <f t="shared" si="3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4"/>
        <v>1989.2481907986005</v>
      </c>
      <c r="H13" s="109">
        <v>885.65899999999999</v>
      </c>
      <c r="I13" s="6">
        <f t="shared" si="1"/>
        <v>1103.5891907986006</v>
      </c>
      <c r="J13" s="6">
        <f>(15806.1*2204.622)/1000000</f>
        <v>34.846475794199996</v>
      </c>
      <c r="K13" s="6">
        <f t="shared" si="2"/>
        <v>2024.0946665928004</v>
      </c>
      <c r="L13" s="5">
        <v>2306.1469999999999</v>
      </c>
      <c r="N13" s="89"/>
    </row>
    <row r="14" spans="1:20" ht="14.25">
      <c r="A14" s="15" t="s">
        <v>43</v>
      </c>
      <c r="B14" s="5">
        <f t="shared" si="3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4"/>
        <v>2211.8930392041998</v>
      </c>
      <c r="H14" s="109">
        <v>940.87400000000002</v>
      </c>
      <c r="I14" s="6">
        <f t="shared" si="1"/>
        <v>1271.0190392041998</v>
      </c>
      <c r="J14" s="6">
        <f>(6989.1*2204.622)/1000000</f>
        <v>15.408323620199999</v>
      </c>
      <c r="K14" s="6">
        <f t="shared" si="2"/>
        <v>2227.3013628243998</v>
      </c>
      <c r="L14" s="5">
        <v>2356.4009999999998</v>
      </c>
      <c r="N14" s="89"/>
    </row>
    <row r="15" spans="1:20" ht="14.25">
      <c r="A15" s="15" t="s">
        <v>44</v>
      </c>
      <c r="B15" s="5">
        <f t="shared" si="3"/>
        <v>2356.4009999999998</v>
      </c>
      <c r="C15" s="6">
        <v>2091.2179999999998</v>
      </c>
      <c r="D15" s="6">
        <f>(15213.2*2204.622)/1000000</f>
        <v>33.539355410399999</v>
      </c>
      <c r="E15" s="6">
        <f t="shared" si="0"/>
        <v>4481.1583554104</v>
      </c>
      <c r="F15" s="5"/>
      <c r="G15" s="5">
        <f t="shared" si="4"/>
        <v>2091.4034745958002</v>
      </c>
      <c r="H15" s="109">
        <v>909.98699999999997</v>
      </c>
      <c r="I15" s="6">
        <f t="shared" si="1"/>
        <v>1181.4164745958001</v>
      </c>
      <c r="J15" s="6">
        <f>(11774.3*2204.622)/1000000</f>
        <v>25.957880814599999</v>
      </c>
      <c r="K15" s="6">
        <f t="shared" si="2"/>
        <v>2117.3613554103999</v>
      </c>
      <c r="L15" s="5">
        <v>2363.797</v>
      </c>
      <c r="N15" s="89"/>
    </row>
    <row r="16" spans="1:20" ht="14.25">
      <c r="A16" s="15" t="s">
        <v>46</v>
      </c>
      <c r="B16" s="5">
        <f t="shared" si="3"/>
        <v>2363.797</v>
      </c>
      <c r="C16" s="6">
        <v>2339.5810000000001</v>
      </c>
      <c r="D16" s="6">
        <f>(15180.8*2204.622)/1000000</f>
        <v>33.467925657599999</v>
      </c>
      <c r="E16" s="6">
        <f t="shared" si="0"/>
        <v>4736.8459256576007</v>
      </c>
      <c r="F16" s="5"/>
      <c r="G16" s="5">
        <f t="shared" si="4"/>
        <v>2336.5298038548008</v>
      </c>
      <c r="H16" s="109">
        <v>952.70299999999997</v>
      </c>
      <c r="I16" s="6">
        <f t="shared" si="1"/>
        <v>1383.8268038548008</v>
      </c>
      <c r="J16" s="6">
        <f>(5807.4*2204.622)/1000000</f>
        <v>12.803121802799998</v>
      </c>
      <c r="K16" s="6">
        <f t="shared" si="2"/>
        <v>2349.3329256576008</v>
      </c>
      <c r="L16" s="5">
        <v>2387.5129999999999</v>
      </c>
      <c r="N16" s="89"/>
    </row>
    <row r="17" spans="1:14" ht="14.25">
      <c r="A17" s="15" t="s">
        <v>47</v>
      </c>
      <c r="B17" s="5">
        <f t="shared" si="3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4"/>
        <v>2058.2364235171999</v>
      </c>
      <c r="H17" s="109">
        <v>926.59799999999996</v>
      </c>
      <c r="I17" s="6">
        <f t="shared" si="1"/>
        <v>1131.6384235172</v>
      </c>
      <c r="J17" s="6">
        <f>(27498.1*2204.622)/1000000</f>
        <v>60.62291621819999</v>
      </c>
      <c r="K17" s="6">
        <f t="shared" si="2"/>
        <v>2118.8593397353998</v>
      </c>
      <c r="L17" s="5">
        <v>2539.6790000000001</v>
      </c>
      <c r="N17" s="89"/>
    </row>
    <row r="18" spans="1:14" ht="14.25">
      <c r="A18" s="15" t="s">
        <v>48</v>
      </c>
      <c r="B18" s="5">
        <f t="shared" si="3"/>
        <v>2539.6790000000001</v>
      </c>
      <c r="C18" s="6">
        <v>2228.3719999999998</v>
      </c>
      <c r="D18" s="6">
        <f>(24574.7*2204.622)/1000000</f>
        <v>54.177924263399994</v>
      </c>
      <c r="E18" s="6">
        <f t="shared" si="0"/>
        <v>4822.2289242633997</v>
      </c>
      <c r="F18" s="5"/>
      <c r="G18" s="5">
        <f t="shared" si="4"/>
        <v>2385.7924694315993</v>
      </c>
      <c r="H18" s="109">
        <v>1140.8710000000001</v>
      </c>
      <c r="I18" s="6">
        <f t="shared" ref="I18:I23" si="5">G18-H18</f>
        <v>1244.9214694315992</v>
      </c>
      <c r="J18" s="6">
        <f>(22776.9*2204.622)/1000000</f>
        <v>50.214454831799998</v>
      </c>
      <c r="K18" s="6">
        <f>E18-L18</f>
        <v>2436.0069242633995</v>
      </c>
      <c r="L18" s="5">
        <v>2386.2220000000002</v>
      </c>
      <c r="N18" s="89"/>
    </row>
    <row r="19" spans="1:14" ht="14.25">
      <c r="A19" s="15" t="s">
        <v>50</v>
      </c>
      <c r="B19" s="5">
        <f>L18</f>
        <v>2386.2220000000002</v>
      </c>
      <c r="C19" s="6">
        <v>2074.857</v>
      </c>
      <c r="D19" s="6">
        <f>(7900.8*2204.622)/1000000</f>
        <v>17.418277497600002</v>
      </c>
      <c r="E19" s="6">
        <f>SUM(B19:D19)</f>
        <v>4478.4972774975995</v>
      </c>
      <c r="F19" s="5"/>
      <c r="G19" s="5">
        <f>K19-J19</f>
        <v>2235.5639103903995</v>
      </c>
      <c r="H19" s="109">
        <v>1206.92</v>
      </c>
      <c r="I19" s="6">
        <f t="shared" si="5"/>
        <v>1028.6439103903995</v>
      </c>
      <c r="J19" s="6">
        <f>(18097.6*2204.622)/1000000</f>
        <v>39.898367107199995</v>
      </c>
      <c r="K19" s="6">
        <f>E19-L19</f>
        <v>2275.4622774975996</v>
      </c>
      <c r="L19" s="5">
        <v>2203.0349999999999</v>
      </c>
    </row>
    <row r="20" spans="1:14" ht="14.25">
      <c r="A20" s="15" t="s">
        <v>51</v>
      </c>
      <c r="B20" s="5">
        <f>L19</f>
        <v>2203.0349999999999</v>
      </c>
      <c r="C20" s="6">
        <v>2180.0360000000001</v>
      </c>
      <c r="D20" s="6">
        <f>(12459.1*2204.622)/1000000</f>
        <v>27.4676059602</v>
      </c>
      <c r="E20" s="6">
        <f>SUM(B20:D20)</f>
        <v>4410.5386059601997</v>
      </c>
      <c r="F20" s="5"/>
      <c r="G20" s="5">
        <f>K20-J20</f>
        <v>2237.1172955073994</v>
      </c>
      <c r="H20" s="109">
        <v>1272.7660000000001</v>
      </c>
      <c r="I20" s="103">
        <f t="shared" si="5"/>
        <v>964.3512955073993</v>
      </c>
      <c r="J20" s="6">
        <f>(16882.4*2204.622)/1000000</f>
        <v>37.219310452799995</v>
      </c>
      <c r="K20" s="6">
        <f>E20-L20</f>
        <v>2274.3366059601994</v>
      </c>
      <c r="L20" s="5">
        <v>2136.2020000000002</v>
      </c>
    </row>
    <row r="21" spans="1:14" ht="14.25">
      <c r="A21" s="15" t="s">
        <v>52</v>
      </c>
      <c r="B21" s="5">
        <f>L20</f>
        <v>2136.2020000000002</v>
      </c>
      <c r="C21" s="105">
        <v>2014.153</v>
      </c>
      <c r="D21" s="6">
        <f>(21101.4*2204.622)/1000000</f>
        <v>46.520610670800004</v>
      </c>
      <c r="E21" s="6">
        <f>SUM(B21:D21)</f>
        <v>4196.8756106708006</v>
      </c>
      <c r="F21" s="5"/>
      <c r="G21" s="5">
        <f>K21-J21</f>
        <v>2398.3625488780008</v>
      </c>
      <c r="H21" s="109">
        <v>1197.1020000000001</v>
      </c>
      <c r="I21" s="107">
        <f t="shared" si="5"/>
        <v>1201.2605488780007</v>
      </c>
      <c r="J21" s="6">
        <f>(11852.4*2204.622)/1000000</f>
        <v>26.130061792799999</v>
      </c>
      <c r="K21" s="6">
        <f>E21-L21</f>
        <v>2424.4926106708008</v>
      </c>
      <c r="L21" s="5">
        <v>1772.383</v>
      </c>
    </row>
    <row r="22" spans="1:14" ht="14.25">
      <c r="A22" s="15" t="s">
        <v>38</v>
      </c>
      <c r="B22" s="5">
        <f>L21</f>
        <v>1772.383</v>
      </c>
      <c r="C22" s="105">
        <v>2077.0740000000001</v>
      </c>
      <c r="D22" s="6">
        <f>(11295.1*2204.622)/1000000</f>
        <v>24.9014259522</v>
      </c>
      <c r="E22" s="6">
        <f>SUM(B22:D22)</f>
        <v>3874.3584259522004</v>
      </c>
      <c r="F22" s="5"/>
      <c r="G22" s="5">
        <f>K22-J22</f>
        <v>2239.2963245780002</v>
      </c>
      <c r="H22" s="109">
        <v>1207.4829999999999</v>
      </c>
      <c r="I22" s="107">
        <f t="shared" si="5"/>
        <v>1031.8133245780002</v>
      </c>
      <c r="J22" s="6">
        <f>(12696.1*2204.622)/1000000</f>
        <v>27.990101374199998</v>
      </c>
      <c r="K22" s="6">
        <f>E22-L22</f>
        <v>2267.2864259522003</v>
      </c>
      <c r="L22" s="5">
        <v>1607.0719999999999</v>
      </c>
    </row>
    <row r="23" spans="1:14" ht="14.25">
      <c r="A23" s="15" t="s">
        <v>28</v>
      </c>
      <c r="B23" s="5"/>
      <c r="C23" s="105">
        <f>SUM(C11:C22)</f>
        <v>26227.309000000001</v>
      </c>
      <c r="D23" s="6">
        <f>(170414.4*2204.622)/1000000</f>
        <v>375.69933535679996</v>
      </c>
      <c r="E23" s="6">
        <f>B11+C23+D23</f>
        <v>28210.080335356801</v>
      </c>
      <c r="F23" s="5"/>
      <c r="G23" s="5">
        <f>SUM(G11:G22)</f>
        <v>26224.934622106</v>
      </c>
      <c r="H23" s="109">
        <f>SUM(H11:H22)</f>
        <v>12490.714000000002</v>
      </c>
      <c r="I23" s="107">
        <f t="shared" si="5"/>
        <v>13734.220622105999</v>
      </c>
      <c r="J23" s="6">
        <f>(171491.5*2204.622)/1000000</f>
        <v>378.07393371299997</v>
      </c>
      <c r="K23" s="6">
        <f>SUM(K11:K22)</f>
        <v>26603.008335356801</v>
      </c>
      <c r="L23" s="5"/>
    </row>
    <row r="24" spans="1:14" ht="14.2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5">
      <c r="A25" s="31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4.25">
      <c r="A26" s="15" t="s">
        <v>39</v>
      </c>
      <c r="B26" s="5">
        <f>L22</f>
        <v>1607.0719999999999</v>
      </c>
      <c r="C26" s="6">
        <v>2375.654</v>
      </c>
      <c r="D26" s="6">
        <f>(20587.1*2204.622)/1000000</f>
        <v>45.386773576199992</v>
      </c>
      <c r="E26" s="6">
        <f t="shared" ref="E26:E27" si="6">SUM(B26:D26)</f>
        <v>4028.1127735761997</v>
      </c>
      <c r="F26" s="5"/>
      <c r="G26" s="5">
        <f t="shared" ref="G26:G31" si="7">K26-J26</f>
        <v>2513.5235816765999</v>
      </c>
      <c r="H26" s="127">
        <v>1061.944</v>
      </c>
      <c r="I26" s="107">
        <f t="shared" ref="I26" si="8">G26-H26</f>
        <v>1451.5795816765999</v>
      </c>
      <c r="J26" s="6">
        <f>(5891.8*2204.622)/1000000</f>
        <v>12.9891918996</v>
      </c>
      <c r="K26" s="6">
        <f t="shared" ref="K26:K31" si="9">E26-L26</f>
        <v>2526.5127735761998</v>
      </c>
      <c r="L26" s="6">
        <v>1501.6</v>
      </c>
      <c r="N26" s="35"/>
    </row>
    <row r="27" spans="1:14" ht="14.25">
      <c r="A27" s="15" t="s">
        <v>40</v>
      </c>
      <c r="B27" s="5">
        <f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 t="shared" si="7"/>
        <v>2250.308405579</v>
      </c>
      <c r="H27" s="132">
        <v>1062.1690000000001</v>
      </c>
      <c r="I27" s="107">
        <f>G27-H27</f>
        <v>1188.1394055789999</v>
      </c>
      <c r="J27" s="6">
        <f>(6262.6*2204.622)/1000000</f>
        <v>13.806665737199999</v>
      </c>
      <c r="K27" s="6">
        <f t="shared" si="9"/>
        <v>2264.1150713162001</v>
      </c>
      <c r="L27" s="6">
        <v>1599.096</v>
      </c>
      <c r="N27" s="35"/>
    </row>
    <row r="28" spans="1:14" ht="14.25">
      <c r="A28" s="15" t="s">
        <v>42</v>
      </c>
      <c r="B28" s="5">
        <f>L27</f>
        <v>1599.096</v>
      </c>
      <c r="C28" s="6">
        <v>2376.2370000000001</v>
      </c>
      <c r="D28" s="6">
        <f>(21904*2204.622)/1000000</f>
        <v>48.290040287999993</v>
      </c>
      <c r="E28" s="6">
        <f>SUM(B28:D28)</f>
        <v>4023.6230402880001</v>
      </c>
      <c r="F28" s="6"/>
      <c r="G28" s="107">
        <f t="shared" si="7"/>
        <v>2187.1307621506003</v>
      </c>
      <c r="H28" s="132">
        <v>1141.32</v>
      </c>
      <c r="I28" s="107">
        <f>G28-H28</f>
        <v>1045.8107621506003</v>
      </c>
      <c r="J28" s="6">
        <f>(5741.7*2204.622)/1000000</f>
        <v>12.6582781374</v>
      </c>
      <c r="K28" s="6">
        <f t="shared" si="9"/>
        <v>2199.7890402880003</v>
      </c>
      <c r="L28" s="6">
        <v>1823.8340000000001</v>
      </c>
      <c r="N28" s="35"/>
    </row>
    <row r="29" spans="1:14" ht="14.25">
      <c r="A29" s="15" t="s">
        <v>43</v>
      </c>
      <c r="B29" s="5">
        <f>L28</f>
        <v>1823.8340000000001</v>
      </c>
      <c r="C29" s="6">
        <v>2288.5720000000001</v>
      </c>
      <c r="D29" s="6">
        <f>(22995*2204.622)/1000000</f>
        <v>50.695282889999994</v>
      </c>
      <c r="E29" s="6">
        <f>SUM(B29:D29)</f>
        <v>4163.1012828900002</v>
      </c>
      <c r="F29" s="6"/>
      <c r="G29" s="107">
        <f t="shared" si="7"/>
        <v>2122.8299197475999</v>
      </c>
      <c r="H29" s="6">
        <v>960.20299999999997</v>
      </c>
      <c r="I29" s="107">
        <f>G29-H29</f>
        <v>1162.6269197475999</v>
      </c>
      <c r="J29" s="6">
        <f>(5219.2*2204.622)/1000000</f>
        <v>11.506363142399998</v>
      </c>
      <c r="K29" s="6">
        <f t="shared" si="9"/>
        <v>2134.3362828899999</v>
      </c>
      <c r="L29" s="6">
        <v>2028.7650000000001</v>
      </c>
      <c r="N29" s="35"/>
    </row>
    <row r="30" spans="1:14" ht="14.25">
      <c r="A30" s="15" t="s">
        <v>44</v>
      </c>
      <c r="B30" s="5">
        <f>L29</f>
        <v>2028.7650000000001</v>
      </c>
      <c r="C30" s="6">
        <v>2292.36</v>
      </c>
      <c r="D30" s="6">
        <f>(15950.7*2204.622)/1000000</f>
        <v>35.165264135399994</v>
      </c>
      <c r="E30" s="6">
        <f>SUM(B30:D30)</f>
        <v>4356.2902641354003</v>
      </c>
      <c r="F30" s="6"/>
      <c r="G30" s="107">
        <f t="shared" si="7"/>
        <v>2193.7767908488004</v>
      </c>
      <c r="H30" s="6">
        <v>888.49</v>
      </c>
      <c r="I30" s="107">
        <f>G30-H30</f>
        <v>1305.2867908488004</v>
      </c>
      <c r="J30" s="6">
        <f>(6450.3*2204.622)/1000000</f>
        <v>14.220473286599999</v>
      </c>
      <c r="K30" s="6">
        <f t="shared" si="9"/>
        <v>2207.9972641354002</v>
      </c>
      <c r="L30" s="6">
        <v>2148.2930000000001</v>
      </c>
      <c r="N30" s="35"/>
    </row>
    <row r="31" spans="1:14" ht="14.25">
      <c r="A31" s="15" t="s">
        <v>46</v>
      </c>
      <c r="B31" s="5">
        <f>L30</f>
        <v>2148.2930000000001</v>
      </c>
      <c r="C31" s="6">
        <v>2405.5709999999999</v>
      </c>
      <c r="D31" s="6">
        <f>(22598.7*2204.622)/1000000</f>
        <v>49.821591191399996</v>
      </c>
      <c r="E31" s="6">
        <f>SUM(B31:D31)</f>
        <v>4603.6855911913999</v>
      </c>
      <c r="F31" s="6"/>
      <c r="G31" s="107">
        <f t="shared" si="7"/>
        <v>2135.8192490381998</v>
      </c>
      <c r="H31" s="6" t="s">
        <v>76</v>
      </c>
      <c r="I31" s="6" t="s">
        <v>76</v>
      </c>
      <c r="J31" s="6">
        <f>(44790.6*2204.622)/1000000</f>
        <v>98.74634215319999</v>
      </c>
      <c r="K31" s="6">
        <f t="shared" si="9"/>
        <v>2234.5655911914</v>
      </c>
      <c r="L31" s="6">
        <v>2369.12</v>
      </c>
      <c r="N31" s="35"/>
    </row>
    <row r="32" spans="1:14" ht="16.5">
      <c r="A32" s="82" t="s">
        <v>77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ht="14.25">
      <c r="A33" s="15" t="s">
        <v>69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4.25">
      <c r="A34" s="20" t="s">
        <v>57</v>
      </c>
      <c r="B34" s="37">
        <f>Contents!A16</f>
        <v>45426</v>
      </c>
      <c r="K34" s="35"/>
    </row>
    <row r="35" spans="1:12">
      <c r="E35" s="35"/>
    </row>
    <row r="36" spans="1:12">
      <c r="H36" s="94"/>
    </row>
  </sheetData>
  <mergeCells count="3">
    <mergeCell ref="B5:L5"/>
    <mergeCell ref="G2:I2"/>
    <mergeCell ref="B2:E2"/>
  </mergeCells>
  <phoneticPr fontId="43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85" zoomScaleNormal="85" workbookViewId="0"/>
  </sheetViews>
  <sheetFormatPr defaultColWidth="9.140625" defaultRowHeight="12.75"/>
  <cols>
    <col min="1" max="1" width="15.42578125" customWidth="1"/>
    <col min="2" max="2" width="13.140625" customWidth="1"/>
    <col min="3" max="3" width="12.140625" customWidth="1"/>
    <col min="4" max="4" width="16.5703125" customWidth="1"/>
    <col min="5" max="5" width="15.42578125" customWidth="1"/>
    <col min="6" max="6" width="11.42578125" customWidth="1"/>
    <col min="7" max="7" width="11.5703125" customWidth="1"/>
    <col min="8" max="8" width="14" customWidth="1"/>
    <col min="9" max="9" width="9.5703125" customWidth="1"/>
    <col min="10" max="11" width="7.5703125" customWidth="1"/>
    <col min="12" max="12" width="8.5703125" customWidth="1"/>
    <col min="13" max="13" width="9.5703125" customWidth="1"/>
    <col min="14" max="14" width="9.5703125" bestFit="1" customWidth="1"/>
    <col min="15" max="15" width="8.42578125" bestFit="1" customWidth="1"/>
    <col min="19" max="19" width="17.42578125" bestFit="1" customWidth="1"/>
    <col min="21" max="21" width="28.42578125" bestFit="1" customWidth="1"/>
  </cols>
  <sheetData>
    <row r="1" spans="1:15" ht="14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4.25">
      <c r="A2" s="15"/>
      <c r="B2" s="196" t="s">
        <v>58</v>
      </c>
      <c r="C2" s="196"/>
      <c r="D2" s="196"/>
      <c r="E2" s="196"/>
      <c r="F2" s="72"/>
      <c r="G2" s="196" t="s">
        <v>59</v>
      </c>
      <c r="H2" s="196"/>
      <c r="I2" s="196"/>
      <c r="J2" s="196"/>
      <c r="K2" s="72"/>
      <c r="L2" s="15"/>
      <c r="M2" s="15"/>
      <c r="N2" s="15"/>
      <c r="O2" s="15"/>
    </row>
    <row r="3" spans="1:15" ht="14.25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4.25">
      <c r="A4" s="21" t="s">
        <v>78</v>
      </c>
      <c r="B4" s="23" t="s">
        <v>79</v>
      </c>
      <c r="C4" s="58" t="s">
        <v>26</v>
      </c>
      <c r="D4" s="25" t="s">
        <v>71</v>
      </c>
      <c r="E4" s="23" t="s">
        <v>80</v>
      </c>
      <c r="F4" s="24"/>
      <c r="G4" s="23" t="s">
        <v>81</v>
      </c>
      <c r="H4" s="23" t="s">
        <v>30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25">
      <c r="A5" s="15"/>
      <c r="B5" s="202" t="s">
        <v>84</v>
      </c>
      <c r="C5" s="202"/>
      <c r="D5" s="202"/>
      <c r="E5" s="202"/>
      <c r="F5" s="202"/>
      <c r="G5" s="202"/>
      <c r="H5" s="202"/>
      <c r="I5" s="202"/>
      <c r="J5" s="202"/>
      <c r="K5" s="202"/>
      <c r="L5" s="15"/>
      <c r="M5" s="15"/>
      <c r="N5" s="15"/>
      <c r="O5" s="15"/>
    </row>
    <row r="6" spans="1:15" ht="14.25">
      <c r="A6" s="15" t="s">
        <v>37</v>
      </c>
      <c r="B6" s="74">
        <v>395.42099999999999</v>
      </c>
      <c r="C6" s="74">
        <v>4415</v>
      </c>
      <c r="D6" s="118">
        <v>101.14</v>
      </c>
      <c r="E6" s="74">
        <f>B6+C6+D6</f>
        <v>4911.5610000000006</v>
      </c>
      <c r="F6" s="75"/>
      <c r="G6" s="74">
        <v>1389.82</v>
      </c>
      <c r="H6" s="119">
        <v>185.60618629762095</v>
      </c>
      <c r="I6" s="74">
        <f>J6-G6-H6</f>
        <v>2950.9998137023799</v>
      </c>
      <c r="J6" s="74">
        <f>E6-K6</f>
        <v>4526.4260000000004</v>
      </c>
      <c r="K6" s="121">
        <v>385.13499999999999</v>
      </c>
      <c r="L6" s="120"/>
      <c r="M6" s="15"/>
      <c r="N6" s="120"/>
      <c r="O6" s="15"/>
    </row>
    <row r="7" spans="1:15" ht="16.5">
      <c r="A7" s="15" t="s">
        <v>165</v>
      </c>
      <c r="B7" s="74">
        <f>K6</f>
        <v>385.13499999999999</v>
      </c>
      <c r="C7" s="74">
        <v>3644</v>
      </c>
      <c r="D7" s="118">
        <v>25</v>
      </c>
      <c r="E7" s="74">
        <f>B7+C7+D7</f>
        <v>4054.1350000000002</v>
      </c>
      <c r="F7" s="75"/>
      <c r="G7" s="74">
        <v>1400</v>
      </c>
      <c r="H7" s="119">
        <v>400</v>
      </c>
      <c r="I7" s="74">
        <v>1909</v>
      </c>
      <c r="J7" s="74">
        <f>SUM(G7:I7)</f>
        <v>3709</v>
      </c>
      <c r="K7" s="74">
        <f>E7-J7</f>
        <v>345.13500000000022</v>
      </c>
      <c r="L7" s="120"/>
      <c r="M7" s="15"/>
      <c r="N7" s="120"/>
      <c r="O7" s="15"/>
    </row>
    <row r="8" spans="1:15" ht="16.5">
      <c r="A8" s="14" t="s">
        <v>166</v>
      </c>
      <c r="B8" s="189">
        <f>K7</f>
        <v>345.13500000000022</v>
      </c>
      <c r="C8" s="189">
        <v>5020</v>
      </c>
      <c r="D8" s="190">
        <v>25</v>
      </c>
      <c r="E8" s="189">
        <f>B8+C8+D8</f>
        <v>5390.1350000000002</v>
      </c>
      <c r="F8" s="191"/>
      <c r="G8" s="189">
        <v>1550</v>
      </c>
      <c r="H8" s="192">
        <v>450</v>
      </c>
      <c r="I8" s="189">
        <v>3000</v>
      </c>
      <c r="J8" s="189">
        <f>SUM(G8:I8)</f>
        <v>5000</v>
      </c>
      <c r="K8" s="189">
        <f>E8-J8</f>
        <v>390.13500000000022</v>
      </c>
      <c r="L8" s="15"/>
      <c r="M8" s="15"/>
      <c r="N8" s="15"/>
      <c r="O8" s="15"/>
    </row>
    <row r="9" spans="1:15" ht="16.5">
      <c r="A9" s="42" t="s">
        <v>85</v>
      </c>
      <c r="B9" s="15"/>
      <c r="C9" s="73"/>
      <c r="D9" s="73"/>
      <c r="E9" s="73"/>
      <c r="F9" s="73"/>
      <c r="G9" s="76"/>
      <c r="H9" s="73"/>
      <c r="I9" s="73"/>
      <c r="J9" s="73"/>
      <c r="K9" s="15"/>
      <c r="L9" s="15"/>
      <c r="M9" s="15"/>
      <c r="N9" s="15"/>
      <c r="O9" s="15"/>
    </row>
    <row r="10" spans="1:15" ht="14.25">
      <c r="A10" s="15" t="s">
        <v>86</v>
      </c>
      <c r="B10" s="29"/>
      <c r="C10" s="34"/>
      <c r="D10" s="15"/>
      <c r="E10" s="29"/>
      <c r="F10" s="29"/>
      <c r="G10" s="29"/>
      <c r="H10" s="29"/>
      <c r="I10" s="29"/>
      <c r="J10" s="29"/>
      <c r="K10" s="15"/>
      <c r="L10" s="15"/>
      <c r="M10" s="15"/>
      <c r="N10" s="15"/>
      <c r="O10" s="15"/>
    </row>
    <row r="11" spans="1:15" ht="14.25">
      <c r="A11" s="15" t="s">
        <v>87</v>
      </c>
      <c r="B11" s="29"/>
      <c r="C11" s="34"/>
      <c r="D11" s="15"/>
      <c r="E11" s="29"/>
      <c r="F11" s="29"/>
      <c r="G11" s="29"/>
      <c r="H11" s="29"/>
      <c r="I11" s="29"/>
      <c r="J11" s="29"/>
      <c r="K11" s="15"/>
      <c r="L11" s="15"/>
      <c r="M11" s="15"/>
      <c r="N11" s="15"/>
      <c r="O11" s="15"/>
    </row>
    <row r="12" spans="1:15" ht="14.25">
      <c r="A12" s="15"/>
      <c r="B12" s="29"/>
      <c r="C12" s="34"/>
      <c r="D12" s="15"/>
      <c r="E12" s="29"/>
      <c r="F12" s="29"/>
      <c r="G12" s="29"/>
      <c r="H12" s="29"/>
      <c r="I12" s="29"/>
      <c r="J12" s="29"/>
      <c r="K12" s="15"/>
      <c r="L12" s="15"/>
      <c r="M12" s="15"/>
      <c r="N12" s="15"/>
      <c r="O12" s="15"/>
    </row>
    <row r="13" spans="1:15" ht="14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4.25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4.25">
      <c r="A15" s="15"/>
      <c r="B15" s="196" t="s">
        <v>58</v>
      </c>
      <c r="C15" s="196"/>
      <c r="D15" s="196"/>
      <c r="E15" s="196"/>
      <c r="F15" s="15"/>
      <c r="G15" s="196" t="s">
        <v>59</v>
      </c>
      <c r="H15" s="196"/>
      <c r="I15" s="196"/>
      <c r="J15" s="15"/>
      <c r="K15" s="15"/>
      <c r="L15" s="15"/>
      <c r="M15" s="15"/>
      <c r="N15" s="15"/>
      <c r="O15" s="15"/>
    </row>
    <row r="16" spans="1:15" ht="14.25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4.25">
      <c r="A17" s="21" t="s">
        <v>61</v>
      </c>
      <c r="B17" s="23" t="s">
        <v>62</v>
      </c>
      <c r="C17" s="58" t="s">
        <v>26</v>
      </c>
      <c r="D17" s="25" t="s">
        <v>71</v>
      </c>
      <c r="E17" s="23" t="s">
        <v>83</v>
      </c>
      <c r="F17" s="24"/>
      <c r="G17" s="74" t="s">
        <v>88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25">
      <c r="A18" s="15"/>
      <c r="B18" s="202" t="s">
        <v>89</v>
      </c>
      <c r="C18" s="202"/>
      <c r="D18" s="202"/>
      <c r="E18" s="202"/>
      <c r="F18" s="202"/>
      <c r="G18" s="202"/>
      <c r="H18" s="202"/>
      <c r="I18" s="202"/>
      <c r="J18" s="202"/>
      <c r="K18" s="15"/>
      <c r="L18" s="15"/>
      <c r="M18" s="15"/>
      <c r="N18" s="15"/>
      <c r="O18" s="15"/>
    </row>
    <row r="19" spans="1:15" ht="14.25">
      <c r="A19" s="15" t="s">
        <v>37</v>
      </c>
      <c r="B19" s="74">
        <v>22.315999999999999</v>
      </c>
      <c r="C19" s="119">
        <v>589.51700000000005</v>
      </c>
      <c r="D19" s="118">
        <v>0</v>
      </c>
      <c r="E19" s="119">
        <f>B19+C19+D19</f>
        <v>611.83300000000008</v>
      </c>
      <c r="F19" s="75"/>
      <c r="G19" s="119">
        <f>E19-J19-H19</f>
        <v>526.23836987119705</v>
      </c>
      <c r="H19" s="119">
        <v>53.033630128802983</v>
      </c>
      <c r="I19" s="119">
        <f>SUM(G19:H19)</f>
        <v>579.27200000000005</v>
      </c>
      <c r="J19" s="74">
        <v>32.561</v>
      </c>
      <c r="K19" s="15"/>
      <c r="L19" s="15"/>
      <c r="M19" s="15"/>
      <c r="N19" s="15"/>
      <c r="O19" s="15"/>
    </row>
    <row r="20" spans="1:15" ht="16.5">
      <c r="A20" s="15" t="s">
        <v>165</v>
      </c>
      <c r="B20" s="74">
        <f>J19</f>
        <v>32.561</v>
      </c>
      <c r="C20" s="119">
        <v>595</v>
      </c>
      <c r="D20" s="118">
        <v>0</v>
      </c>
      <c r="E20" s="119">
        <f>B20+C20+D20</f>
        <v>627.56100000000004</v>
      </c>
      <c r="F20" s="75"/>
      <c r="G20" s="119">
        <v>533</v>
      </c>
      <c r="H20" s="119">
        <v>60</v>
      </c>
      <c r="I20" s="119">
        <f>SUM(G20:H20)</f>
        <v>593</v>
      </c>
      <c r="J20" s="74">
        <f>E20-I20</f>
        <v>34.561000000000035</v>
      </c>
      <c r="K20" s="15"/>
      <c r="L20" s="15"/>
      <c r="M20" s="15"/>
      <c r="N20" s="15"/>
      <c r="O20" s="15"/>
    </row>
    <row r="21" spans="1:15" ht="16.5">
      <c r="A21" s="14" t="s">
        <v>166</v>
      </c>
      <c r="B21" s="189">
        <f>J20</f>
        <v>34.561000000000035</v>
      </c>
      <c r="C21" s="192">
        <v>680</v>
      </c>
      <c r="D21" s="190">
        <v>0</v>
      </c>
      <c r="E21" s="192">
        <f>B21+C21+D21</f>
        <v>714.56100000000004</v>
      </c>
      <c r="F21" s="191"/>
      <c r="G21" s="192">
        <v>615</v>
      </c>
      <c r="H21" s="192">
        <v>60</v>
      </c>
      <c r="I21" s="192">
        <f>SUM(G21:H21)</f>
        <v>675</v>
      </c>
      <c r="J21" s="189">
        <f>E21-I21</f>
        <v>39.561000000000035</v>
      </c>
      <c r="K21" s="15"/>
      <c r="L21" s="15"/>
      <c r="M21" s="15"/>
      <c r="N21" s="15"/>
      <c r="O21" s="15"/>
    </row>
    <row r="22" spans="1:15" ht="16.5">
      <c r="A22" s="42" t="s">
        <v>85</v>
      </c>
      <c r="B22" s="15"/>
      <c r="C22" s="73"/>
      <c r="D22" s="73"/>
      <c r="E22" s="73"/>
      <c r="F22" s="73"/>
      <c r="G22" s="73"/>
      <c r="H22" s="73"/>
      <c r="I22" s="15"/>
      <c r="J22" s="15"/>
      <c r="K22" s="15"/>
      <c r="L22" s="15"/>
      <c r="M22" s="15"/>
      <c r="N22" s="15"/>
      <c r="O22" s="15"/>
    </row>
    <row r="23" spans="1:15" ht="14.25">
      <c r="A23" s="15" t="s">
        <v>90</v>
      </c>
      <c r="B23" s="75"/>
      <c r="C23" s="75"/>
      <c r="D23" s="75"/>
      <c r="E23" s="75"/>
      <c r="F23" s="75"/>
      <c r="G23" s="75"/>
      <c r="H23" s="75"/>
      <c r="I23" s="15"/>
      <c r="J23" s="15"/>
      <c r="K23" s="15"/>
      <c r="L23" s="15"/>
      <c r="M23" s="15"/>
      <c r="N23" s="15"/>
      <c r="O23" s="15"/>
    </row>
    <row r="24" spans="1:15" ht="14.25">
      <c r="A24" s="15"/>
      <c r="B24" s="29"/>
      <c r="C24" s="29"/>
      <c r="D24" s="29"/>
      <c r="E24" s="29"/>
      <c r="F24" s="29"/>
      <c r="G24" s="29"/>
      <c r="H24" s="29"/>
      <c r="I24" s="15"/>
      <c r="J24" s="15"/>
      <c r="K24" s="15"/>
      <c r="L24" s="15"/>
      <c r="M24" s="15"/>
      <c r="N24" s="15"/>
      <c r="O24" s="15"/>
    </row>
    <row r="25" spans="1:15" ht="14.25">
      <c r="A25" s="15"/>
      <c r="B25" s="29"/>
      <c r="C25" s="34"/>
      <c r="D25" s="29"/>
      <c r="E25" s="29"/>
      <c r="F25" s="29"/>
      <c r="G25" s="29"/>
      <c r="H25" s="29"/>
      <c r="I25" s="15"/>
      <c r="J25" s="15"/>
      <c r="K25" s="15"/>
      <c r="L25" s="15"/>
      <c r="M25" s="15"/>
      <c r="N25" s="15"/>
      <c r="O25" s="15"/>
    </row>
    <row r="26" spans="1:15" ht="14.25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4.25">
      <c r="A27" s="15"/>
      <c r="B27" s="196" t="s">
        <v>58</v>
      </c>
      <c r="C27" s="196"/>
      <c r="D27" s="196"/>
      <c r="E27" s="196"/>
      <c r="F27" s="15"/>
      <c r="G27" s="196" t="s">
        <v>59</v>
      </c>
      <c r="H27" s="196"/>
      <c r="I27" s="196"/>
      <c r="J27" s="15"/>
      <c r="K27" s="15"/>
      <c r="L27" s="15"/>
      <c r="M27" s="15"/>
      <c r="N27" s="15"/>
      <c r="O27" s="15"/>
    </row>
    <row r="28" spans="1:15" ht="14.25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4.25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83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25">
      <c r="A30" s="15"/>
      <c r="B30" s="202" t="s">
        <v>75</v>
      </c>
      <c r="C30" s="202"/>
      <c r="D30" s="202"/>
      <c r="E30" s="202"/>
      <c r="F30" s="202"/>
      <c r="G30" s="202"/>
      <c r="H30" s="202"/>
      <c r="I30" s="202"/>
      <c r="J30" s="202"/>
      <c r="K30" s="15"/>
      <c r="L30" s="15"/>
      <c r="M30" s="15"/>
      <c r="N30" s="15"/>
      <c r="O30" s="15"/>
    </row>
    <row r="31" spans="1:15" ht="14.25">
      <c r="A31" s="15" t="s">
        <v>37</v>
      </c>
      <c r="B31" s="118">
        <v>49.698</v>
      </c>
      <c r="C31" s="119">
        <v>365.27800000000002</v>
      </c>
      <c r="D31" s="118">
        <v>15.945374023673999</v>
      </c>
      <c r="E31" s="122">
        <f>B31+C31+D31</f>
        <v>430.92137402367399</v>
      </c>
      <c r="F31" s="75"/>
      <c r="G31" s="119">
        <v>310</v>
      </c>
      <c r="H31" s="119">
        <v>71.126637277750007</v>
      </c>
      <c r="I31" s="119">
        <f>SUM(G31:H31)</f>
        <v>381.12663727774998</v>
      </c>
      <c r="J31" s="119">
        <f>E31-I31</f>
        <v>49.794736745924013</v>
      </c>
      <c r="K31" s="15"/>
      <c r="L31" s="15"/>
      <c r="M31" s="15"/>
      <c r="N31" s="15"/>
      <c r="O31" s="15"/>
    </row>
    <row r="32" spans="1:15" ht="16.5">
      <c r="A32" s="15" t="s">
        <v>165</v>
      </c>
      <c r="B32" s="118">
        <f>J31</f>
        <v>49.794736745924013</v>
      </c>
      <c r="C32" s="119">
        <v>375</v>
      </c>
      <c r="D32" s="118">
        <v>5</v>
      </c>
      <c r="E32" s="122">
        <f>B32+C32+D32</f>
        <v>429.79473674592401</v>
      </c>
      <c r="F32" s="75"/>
      <c r="G32" s="119">
        <v>365</v>
      </c>
      <c r="H32" s="119">
        <v>15</v>
      </c>
      <c r="I32" s="119">
        <f>SUM(G32:H32)</f>
        <v>380</v>
      </c>
      <c r="J32" s="119">
        <f>E32-I32</f>
        <v>49.794736745924013</v>
      </c>
      <c r="K32" s="15"/>
      <c r="L32" s="15"/>
      <c r="M32" s="15"/>
      <c r="N32" s="15"/>
      <c r="O32" s="15"/>
    </row>
    <row r="33" spans="1:18" ht="16.5">
      <c r="A33" s="14" t="s">
        <v>166</v>
      </c>
      <c r="B33" s="190">
        <f>J32</f>
        <v>49.794736745924013</v>
      </c>
      <c r="C33" s="192">
        <v>415</v>
      </c>
      <c r="D33" s="190">
        <v>5</v>
      </c>
      <c r="E33" s="193">
        <f>B33+C33+D33</f>
        <v>469.79473674592401</v>
      </c>
      <c r="F33" s="191"/>
      <c r="G33" s="192">
        <v>370</v>
      </c>
      <c r="H33" s="192">
        <v>50</v>
      </c>
      <c r="I33" s="192">
        <f>SUM(G33:H33)</f>
        <v>420</v>
      </c>
      <c r="J33" s="192">
        <f>E33-I33</f>
        <v>49.794736745924013</v>
      </c>
      <c r="K33" s="15"/>
      <c r="L33" s="15"/>
      <c r="M33" s="15"/>
      <c r="N33" s="15"/>
      <c r="O33" s="15"/>
    </row>
    <row r="34" spans="1:18" ht="16.5">
      <c r="A34" s="42" t="s">
        <v>85</v>
      </c>
      <c r="B34" s="15"/>
      <c r="C34" s="73"/>
      <c r="D34" s="73"/>
      <c r="E34" s="73"/>
      <c r="F34" s="73"/>
      <c r="G34" s="73"/>
      <c r="H34" s="73"/>
      <c r="I34" s="15"/>
      <c r="J34" s="15"/>
      <c r="K34" s="15"/>
      <c r="L34" s="15"/>
      <c r="M34" s="15"/>
      <c r="N34" s="15"/>
      <c r="O34" s="15"/>
      <c r="R34" s="123"/>
    </row>
    <row r="35" spans="1:18" ht="14.25">
      <c r="A35" s="15" t="s">
        <v>90</v>
      </c>
      <c r="B35" s="29"/>
      <c r="C35" s="34"/>
      <c r="D35" s="29"/>
      <c r="E35" s="29"/>
      <c r="F35" s="29"/>
      <c r="G35" s="29"/>
      <c r="H35" s="29"/>
      <c r="I35" s="15"/>
      <c r="J35" s="15"/>
      <c r="K35" s="15"/>
      <c r="L35" s="15"/>
      <c r="M35" s="15"/>
      <c r="N35" s="15"/>
      <c r="O35" s="15"/>
      <c r="R35" s="123"/>
    </row>
    <row r="36" spans="1:18" ht="14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4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4.25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4.25">
      <c r="A39" s="15"/>
      <c r="B39" s="196" t="s">
        <v>13</v>
      </c>
      <c r="C39" s="196"/>
      <c r="D39" s="17" t="s">
        <v>14</v>
      </c>
      <c r="E39" s="196" t="s">
        <v>15</v>
      </c>
      <c r="F39" s="196"/>
      <c r="G39" s="196"/>
      <c r="H39" s="196"/>
      <c r="I39" s="15"/>
      <c r="J39" s="196" t="s">
        <v>59</v>
      </c>
      <c r="K39" s="196"/>
      <c r="L39" s="196"/>
      <c r="M39" s="196"/>
      <c r="N39" s="196"/>
      <c r="O39" s="72"/>
    </row>
    <row r="40" spans="1:18" ht="14.25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5" t="s">
        <v>88</v>
      </c>
      <c r="K40" s="17"/>
      <c r="L40" s="17" t="s">
        <v>22</v>
      </c>
      <c r="M40" s="17"/>
      <c r="N40" s="17"/>
      <c r="O40" s="17" t="s">
        <v>60</v>
      </c>
    </row>
    <row r="41" spans="1:18" ht="14.25">
      <c r="A41" s="21" t="s">
        <v>78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83</v>
      </c>
      <c r="I41" s="23"/>
      <c r="J41" s="23" t="s">
        <v>91</v>
      </c>
      <c r="K41" s="23" t="s">
        <v>81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8" ht="14.25">
      <c r="A42" s="15"/>
      <c r="B42" s="200" t="s">
        <v>92</v>
      </c>
      <c r="C42" s="201"/>
      <c r="D42" s="77" t="s">
        <v>93</v>
      </c>
      <c r="E42" s="203" t="s">
        <v>94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1"/>
    </row>
    <row r="43" spans="1:18" ht="14.25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4.25">
      <c r="A44" s="15" t="s">
        <v>37</v>
      </c>
      <c r="B44" s="74">
        <v>1448.5</v>
      </c>
      <c r="C44" s="74">
        <v>1381.4</v>
      </c>
      <c r="D44" s="74">
        <f>F44*1000/C44</f>
        <v>4011.7069639496162</v>
      </c>
      <c r="E44" s="74">
        <v>2360.2570000000001</v>
      </c>
      <c r="F44" s="74">
        <v>5541.7719999999999</v>
      </c>
      <c r="G44" s="119">
        <v>102.91</v>
      </c>
      <c r="H44" s="74">
        <f>SUM(E44:G44)</f>
        <v>8004.9390000000003</v>
      </c>
      <c r="I44" s="74"/>
      <c r="J44" s="74">
        <v>3201.4</v>
      </c>
      <c r="K44" s="74">
        <v>794.7</v>
      </c>
      <c r="L44" s="119">
        <f>N44-J44-K44-M44</f>
        <v>780.54099999999971</v>
      </c>
      <c r="M44" s="119">
        <v>1195.93</v>
      </c>
      <c r="N44" s="74">
        <f>H44-O44</f>
        <v>5972.5709999999999</v>
      </c>
      <c r="O44" s="74">
        <v>2032.3679999999999</v>
      </c>
      <c r="P44" s="123"/>
      <c r="Q44" s="123"/>
    </row>
    <row r="45" spans="1:18" ht="16.5">
      <c r="A45" s="15" t="s">
        <v>165</v>
      </c>
      <c r="B45" s="74">
        <v>1645</v>
      </c>
      <c r="C45" s="74">
        <v>1574</v>
      </c>
      <c r="D45" s="74">
        <f>F45*1000/C45</f>
        <v>3742.0711562897077</v>
      </c>
      <c r="E45" s="74">
        <f>O44</f>
        <v>2032.3679999999999</v>
      </c>
      <c r="F45" s="74">
        <v>5890.02</v>
      </c>
      <c r="G45" s="119">
        <v>100</v>
      </c>
      <c r="H45" s="74">
        <f>SUM(E45:G45)</f>
        <v>8022.3880000000008</v>
      </c>
      <c r="I45" s="74"/>
      <c r="J45" s="74">
        <v>3163</v>
      </c>
      <c r="K45" s="74">
        <v>650</v>
      </c>
      <c r="L45" s="119">
        <v>741.375</v>
      </c>
      <c r="M45" s="119">
        <v>1475</v>
      </c>
      <c r="N45" s="74">
        <f>SUM(J45:M45)</f>
        <v>6029.375</v>
      </c>
      <c r="O45" s="74">
        <f>H45-N45</f>
        <v>1993.0130000000008</v>
      </c>
      <c r="P45" s="123"/>
      <c r="Q45" s="123"/>
    </row>
    <row r="46" spans="1:18" ht="16.5">
      <c r="A46" s="14" t="s">
        <v>166</v>
      </c>
      <c r="B46" s="189">
        <v>1651</v>
      </c>
      <c r="C46" s="189">
        <v>1584.96</v>
      </c>
      <c r="D46" s="189">
        <v>4000</v>
      </c>
      <c r="E46" s="189">
        <f>O45</f>
        <v>1993.0130000000008</v>
      </c>
      <c r="F46" s="189">
        <f>C46*D46/1000</f>
        <v>6339.84</v>
      </c>
      <c r="G46" s="192">
        <v>100</v>
      </c>
      <c r="H46" s="189">
        <f>SUM(E46:G46)</f>
        <v>8432.853000000001</v>
      </c>
      <c r="I46" s="189"/>
      <c r="J46" s="189">
        <v>3204</v>
      </c>
      <c r="K46" s="189">
        <v>875</v>
      </c>
      <c r="L46" s="192">
        <v>782</v>
      </c>
      <c r="M46" s="192">
        <v>1300</v>
      </c>
      <c r="N46" s="189">
        <f>SUM(J46:M46)</f>
        <v>6161</v>
      </c>
      <c r="O46" s="189">
        <f>H46-N46</f>
        <v>2271.853000000001</v>
      </c>
      <c r="P46" s="123"/>
      <c r="Q46" s="123"/>
    </row>
    <row r="47" spans="1:18" ht="16.5">
      <c r="A47" s="42" t="s">
        <v>85</v>
      </c>
      <c r="B47" s="15"/>
      <c r="C47" s="73"/>
      <c r="D47" s="73"/>
      <c r="E47" s="73"/>
      <c r="F47" s="73"/>
      <c r="G47" s="73"/>
      <c r="H47" s="73"/>
      <c r="I47" s="15"/>
      <c r="J47" s="15"/>
      <c r="K47" s="15"/>
      <c r="L47" s="15"/>
      <c r="M47" s="15"/>
      <c r="N47" s="15"/>
      <c r="O47" s="15"/>
    </row>
    <row r="48" spans="1:18" ht="14.25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25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4.25">
      <c r="A50" s="20" t="s">
        <v>57</v>
      </c>
      <c r="B50" s="78">
        <f>Contents!A16</f>
        <v>45426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5" customHeight="1">
      <c r="A51" s="79"/>
      <c r="B51" s="80"/>
      <c r="C51" s="80"/>
      <c r="D51" s="80"/>
      <c r="E51" s="80"/>
      <c r="F51" s="80"/>
      <c r="G51" s="80"/>
      <c r="H51" s="80"/>
      <c r="I51" s="80"/>
      <c r="J51" s="93"/>
      <c r="K51" s="80"/>
      <c r="L51" s="80"/>
      <c r="M51" s="80"/>
      <c r="N51" s="80"/>
      <c r="O51" s="80"/>
    </row>
    <row r="52" spans="1:15" ht="15.75">
      <c r="G52" s="63"/>
      <c r="H52" s="63"/>
    </row>
    <row r="53" spans="1:15" ht="15.75">
      <c r="G53" s="63"/>
      <c r="H53" s="63"/>
    </row>
    <row r="54" spans="1:15" ht="15.75">
      <c r="G54" s="63"/>
      <c r="H54" s="63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43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6"/>
  <sheetViews>
    <sheetView showGridLines="0" zoomScale="70" zoomScaleNormal="70" workbookViewId="0">
      <pane xSplit="1" ySplit="4" topLeftCell="B5" activePane="bottomRight" state="frozen"/>
      <selection activeCell="G51" sqref="G51"/>
      <selection pane="topRight" activeCell="G51" sqref="G51"/>
      <selection pane="bottomLeft" activeCell="G51" sqref="G51"/>
      <selection pane="bottomRight"/>
    </sheetView>
  </sheetViews>
  <sheetFormatPr defaultColWidth="9.140625" defaultRowHeight="12.75"/>
  <cols>
    <col min="1" max="1" width="11.5703125" customWidth="1"/>
    <col min="2" max="2" width="18.85546875" bestFit="1" customWidth="1"/>
    <col min="3" max="3" width="22.140625" bestFit="1" customWidth="1"/>
    <col min="4" max="4" width="24.5703125" customWidth="1"/>
    <col min="5" max="5" width="25.42578125" customWidth="1"/>
    <col min="6" max="6" width="16.5703125" bestFit="1" customWidth="1"/>
    <col min="7" max="7" width="18.85546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46"/>
      <c r="D3" s="46"/>
      <c r="E3" s="46"/>
      <c r="F3" s="46"/>
      <c r="G3" s="46"/>
    </row>
    <row r="4" spans="1:10" ht="14.25">
      <c r="A4" s="47"/>
      <c r="B4" s="48" t="s">
        <v>104</v>
      </c>
      <c r="C4" s="48" t="s">
        <v>105</v>
      </c>
      <c r="D4" s="48" t="s">
        <v>106</v>
      </c>
      <c r="E4" s="48" t="s">
        <v>106</v>
      </c>
      <c r="F4" s="48" t="s">
        <v>107</v>
      </c>
      <c r="G4" s="48" t="s">
        <v>104</v>
      </c>
    </row>
    <row r="5" spans="1:10" ht="14.25">
      <c r="A5" s="15"/>
      <c r="B5" s="15"/>
      <c r="C5" s="15"/>
      <c r="D5" s="17"/>
      <c r="E5" s="15"/>
      <c r="F5" s="15"/>
      <c r="G5" s="15"/>
    </row>
    <row r="6" spans="1:10" ht="14.25">
      <c r="A6" s="15" t="s">
        <v>108</v>
      </c>
      <c r="B6" s="49">
        <v>11.3</v>
      </c>
      <c r="C6" s="49">
        <v>161</v>
      </c>
      <c r="D6" s="49">
        <v>23.3</v>
      </c>
      <c r="E6" s="49">
        <v>19.3</v>
      </c>
      <c r="F6" s="49">
        <v>22.5</v>
      </c>
      <c r="G6" s="49">
        <v>12.2</v>
      </c>
      <c r="J6" s="64"/>
    </row>
    <row r="7" spans="1:10" ht="14.25">
      <c r="A7" s="15" t="s">
        <v>109</v>
      </c>
      <c r="B7" s="49">
        <v>12.5</v>
      </c>
      <c r="C7" s="49">
        <v>260</v>
      </c>
      <c r="D7" s="49">
        <v>29.1</v>
      </c>
      <c r="E7" s="49">
        <v>24</v>
      </c>
      <c r="F7" s="49">
        <v>31.8</v>
      </c>
      <c r="G7" s="49">
        <v>13.9</v>
      </c>
      <c r="J7" s="64"/>
    </row>
    <row r="8" spans="1:10" ht="14.25">
      <c r="A8" s="15" t="s">
        <v>110</v>
      </c>
      <c r="B8" s="49">
        <v>14.4</v>
      </c>
      <c r="C8" s="49">
        <v>252</v>
      </c>
      <c r="D8" s="49">
        <v>25.4</v>
      </c>
      <c r="E8" s="49">
        <v>26.5</v>
      </c>
      <c r="F8" s="49">
        <v>30.1</v>
      </c>
      <c r="G8" s="49">
        <v>13.8</v>
      </c>
      <c r="J8" s="64"/>
    </row>
    <row r="9" spans="1:10" ht="14.25">
      <c r="A9" s="15" t="s">
        <v>111</v>
      </c>
      <c r="B9" s="49">
        <v>13</v>
      </c>
      <c r="C9" s="49">
        <v>246</v>
      </c>
      <c r="D9" s="49">
        <v>21.4</v>
      </c>
      <c r="E9" s="49">
        <v>20.6</v>
      </c>
      <c r="F9" s="49">
        <v>24.9</v>
      </c>
      <c r="G9" s="49">
        <v>13.8</v>
      </c>
      <c r="J9" s="64"/>
    </row>
    <row r="10" spans="1:10" ht="14.25">
      <c r="A10" s="15" t="s">
        <v>112</v>
      </c>
      <c r="B10" s="49">
        <v>10.1</v>
      </c>
      <c r="C10" s="49">
        <v>194</v>
      </c>
      <c r="D10" s="49">
        <v>21.7</v>
      </c>
      <c r="E10" s="49">
        <v>16.899999999999999</v>
      </c>
      <c r="F10" s="49">
        <v>22</v>
      </c>
      <c r="G10" s="49">
        <v>11.8</v>
      </c>
      <c r="J10" s="64"/>
    </row>
    <row r="11" spans="1:10" ht="14.25">
      <c r="A11" s="15" t="s">
        <v>113</v>
      </c>
      <c r="B11" s="49">
        <v>8.9499999999999993</v>
      </c>
      <c r="C11" s="49">
        <v>227</v>
      </c>
      <c r="D11" s="49">
        <v>19.600000000000001</v>
      </c>
      <c r="E11" s="49">
        <v>15.6</v>
      </c>
      <c r="F11" s="49">
        <v>19.3</v>
      </c>
      <c r="G11" s="49">
        <v>8.9499999999999993</v>
      </c>
      <c r="J11" s="64"/>
    </row>
    <row r="12" spans="1:10" ht="14.25">
      <c r="A12" s="15" t="s">
        <v>114</v>
      </c>
      <c r="B12" s="49">
        <v>9.4700000000000006</v>
      </c>
      <c r="C12" s="49">
        <v>195</v>
      </c>
      <c r="D12" s="49">
        <v>17.399999999999999</v>
      </c>
      <c r="E12" s="49">
        <v>16.600000000000001</v>
      </c>
      <c r="F12" s="49">
        <v>19.7</v>
      </c>
      <c r="G12" s="49">
        <v>8</v>
      </c>
      <c r="J12" s="64"/>
    </row>
    <row r="13" spans="1:10" ht="14.25">
      <c r="A13" s="15" t="s">
        <v>115</v>
      </c>
      <c r="B13" s="49">
        <v>9.33</v>
      </c>
      <c r="C13" s="49">
        <v>142</v>
      </c>
      <c r="D13" s="49">
        <v>17.2</v>
      </c>
      <c r="E13" s="49">
        <v>17.5</v>
      </c>
      <c r="F13" s="49">
        <v>22.9</v>
      </c>
      <c r="G13" s="49">
        <v>9.5299999999999994</v>
      </c>
      <c r="J13" s="64"/>
    </row>
    <row r="14" spans="1:10" ht="14.25">
      <c r="A14" s="15" t="s">
        <v>116</v>
      </c>
      <c r="B14" s="49">
        <v>8.48</v>
      </c>
      <c r="C14" s="49">
        <v>155</v>
      </c>
      <c r="D14" s="49">
        <v>17.399999999999999</v>
      </c>
      <c r="E14" s="49">
        <v>15.8</v>
      </c>
      <c r="F14" s="49">
        <v>21.5</v>
      </c>
      <c r="G14" s="49">
        <v>9.89</v>
      </c>
      <c r="J14" s="64"/>
    </row>
    <row r="15" spans="1:10" ht="14.25">
      <c r="A15" s="15" t="s">
        <v>117</v>
      </c>
      <c r="B15" s="49">
        <v>8.57</v>
      </c>
      <c r="C15" s="49">
        <v>161</v>
      </c>
      <c r="D15" s="49">
        <v>19.5</v>
      </c>
      <c r="E15" s="49">
        <v>14.8</v>
      </c>
      <c r="F15" s="49">
        <v>20.5</v>
      </c>
      <c r="G15" s="49">
        <v>9.15</v>
      </c>
      <c r="J15" s="64"/>
    </row>
    <row r="16" spans="1:10" ht="14.25">
      <c r="A16" s="15" t="s">
        <v>118</v>
      </c>
      <c r="B16" s="49">
        <v>10.8</v>
      </c>
      <c r="C16" s="49">
        <v>194</v>
      </c>
      <c r="D16" s="49">
        <v>21.3</v>
      </c>
      <c r="E16" s="49">
        <v>18.400000000000002</v>
      </c>
      <c r="F16" s="49">
        <v>21</v>
      </c>
      <c r="G16" s="49">
        <v>11.1</v>
      </c>
      <c r="J16" s="64"/>
    </row>
    <row r="17" spans="1:10" ht="14.25">
      <c r="A17" s="15" t="s">
        <v>34</v>
      </c>
      <c r="B17" s="49">
        <v>13.3</v>
      </c>
      <c r="C17" s="49">
        <v>243</v>
      </c>
      <c r="D17" s="95">
        <v>32.9</v>
      </c>
      <c r="E17" s="49">
        <v>32.9</v>
      </c>
      <c r="F17" s="49">
        <v>24.3</v>
      </c>
      <c r="G17" s="49">
        <v>25.9</v>
      </c>
      <c r="J17" s="64"/>
    </row>
    <row r="18" spans="1:10" ht="14.25">
      <c r="A18" s="15" t="s">
        <v>37</v>
      </c>
      <c r="B18" s="49">
        <v>14.2</v>
      </c>
      <c r="C18" s="95">
        <v>306</v>
      </c>
      <c r="D18" s="49">
        <v>27.8</v>
      </c>
      <c r="E18" s="49">
        <v>29.8</v>
      </c>
      <c r="F18" s="49">
        <v>26.8</v>
      </c>
      <c r="G18" s="95">
        <v>17.5</v>
      </c>
      <c r="H18" s="106"/>
      <c r="J18" s="64"/>
    </row>
    <row r="19" spans="1:10" ht="16.5">
      <c r="A19" s="15" t="s">
        <v>119</v>
      </c>
      <c r="B19" s="49">
        <v>12.55</v>
      </c>
      <c r="C19" s="49">
        <v>211</v>
      </c>
      <c r="D19" s="95">
        <v>20.55</v>
      </c>
      <c r="E19" s="49">
        <v>24.4</v>
      </c>
      <c r="F19" s="49">
        <v>27</v>
      </c>
      <c r="G19" s="95">
        <v>12.297600000000001</v>
      </c>
      <c r="H19" s="106"/>
      <c r="J19" s="64"/>
    </row>
    <row r="20" spans="1:10" ht="16.5">
      <c r="A20" s="15" t="s">
        <v>164</v>
      </c>
      <c r="B20" s="49">
        <v>11.2</v>
      </c>
      <c r="C20" s="49">
        <v>207</v>
      </c>
      <c r="D20" s="95">
        <v>21</v>
      </c>
      <c r="E20" s="49">
        <v>21</v>
      </c>
      <c r="F20" s="49">
        <v>25.5</v>
      </c>
      <c r="G20" s="95">
        <v>13.496000000000002</v>
      </c>
      <c r="H20" s="106"/>
      <c r="J20" s="64"/>
    </row>
    <row r="21" spans="1:10" ht="14.25">
      <c r="A21" s="15"/>
      <c r="B21" s="50"/>
      <c r="C21" s="51"/>
      <c r="D21" s="52"/>
      <c r="E21" s="52"/>
      <c r="F21" s="51"/>
      <c r="G21" s="53"/>
      <c r="H21" s="43"/>
      <c r="J21" s="64"/>
    </row>
    <row r="22" spans="1:10" ht="15">
      <c r="A22" s="54" t="s">
        <v>37</v>
      </c>
      <c r="B22" s="49"/>
      <c r="C22" s="49"/>
      <c r="D22" s="49"/>
      <c r="E22" s="49"/>
      <c r="F22" s="49"/>
      <c r="G22" s="49"/>
    </row>
    <row r="23" spans="1:10" ht="14.25">
      <c r="A23" s="15" t="s">
        <v>38</v>
      </c>
      <c r="B23" s="95">
        <v>14.2</v>
      </c>
      <c r="C23" s="49">
        <v>316</v>
      </c>
      <c r="D23" s="49">
        <v>32.9</v>
      </c>
      <c r="E23" s="49">
        <v>28.1</v>
      </c>
      <c r="F23" s="49">
        <v>25.6</v>
      </c>
      <c r="G23" s="49">
        <v>18.899999999999999</v>
      </c>
    </row>
    <row r="24" spans="1:10" ht="14.25">
      <c r="A24" s="15" t="s">
        <v>39</v>
      </c>
      <c r="B24" s="49">
        <v>13.5</v>
      </c>
      <c r="C24" s="49">
        <v>340</v>
      </c>
      <c r="D24" s="49">
        <v>29.3</v>
      </c>
      <c r="E24" s="49">
        <v>28.1</v>
      </c>
      <c r="F24" s="49">
        <v>26.400000000000002</v>
      </c>
      <c r="G24" s="49">
        <v>18.600000000000001</v>
      </c>
    </row>
    <row r="25" spans="1:10" ht="14.25">
      <c r="A25" s="15" t="s">
        <v>40</v>
      </c>
      <c r="B25" s="49">
        <v>14</v>
      </c>
      <c r="C25" s="49">
        <v>281</v>
      </c>
      <c r="D25" s="49">
        <v>28.4</v>
      </c>
      <c r="E25" s="49">
        <v>29.2</v>
      </c>
      <c r="F25" s="49">
        <v>28.799999999999997</v>
      </c>
      <c r="G25" s="49">
        <v>19.5</v>
      </c>
    </row>
    <row r="26" spans="1:10" ht="14.25">
      <c r="A26" s="15" t="s">
        <v>42</v>
      </c>
      <c r="B26" s="49">
        <v>14.4</v>
      </c>
      <c r="C26" s="49">
        <v>315</v>
      </c>
      <c r="D26" s="49">
        <v>29.5</v>
      </c>
      <c r="E26" s="49">
        <v>29.2</v>
      </c>
      <c r="F26" s="49">
        <v>24.5</v>
      </c>
      <c r="G26" s="49">
        <v>18.3</v>
      </c>
    </row>
    <row r="27" spans="1:10" ht="14.25">
      <c r="A27" s="15" t="s">
        <v>43</v>
      </c>
      <c r="B27" s="49">
        <v>14.5</v>
      </c>
      <c r="C27" s="49">
        <v>273</v>
      </c>
      <c r="D27" s="49">
        <v>29</v>
      </c>
      <c r="E27" s="49">
        <v>30.1</v>
      </c>
      <c r="F27" s="49">
        <v>27.700000000000003</v>
      </c>
      <c r="G27" s="49">
        <v>17.7</v>
      </c>
    </row>
    <row r="28" spans="1:10" ht="14.25">
      <c r="A28" s="15" t="s">
        <v>44</v>
      </c>
      <c r="B28" s="49">
        <v>15.1</v>
      </c>
      <c r="C28" s="49">
        <v>223</v>
      </c>
      <c r="D28" s="49">
        <v>29.9</v>
      </c>
      <c r="E28" s="49">
        <v>31.7</v>
      </c>
      <c r="F28" s="49">
        <v>27</v>
      </c>
      <c r="G28" s="49">
        <v>15.4</v>
      </c>
    </row>
    <row r="29" spans="1:10" ht="14.25">
      <c r="A29" s="15" t="s">
        <v>46</v>
      </c>
      <c r="B29" s="49">
        <v>14.9</v>
      </c>
      <c r="C29" s="49" t="s">
        <v>76</v>
      </c>
      <c r="D29" s="49">
        <v>27.5</v>
      </c>
      <c r="E29" s="49">
        <v>29.8</v>
      </c>
      <c r="F29" s="49">
        <v>26.700000000000003</v>
      </c>
      <c r="G29" s="49">
        <v>14.8</v>
      </c>
    </row>
    <row r="30" spans="1:10" ht="14.25">
      <c r="A30" s="15" t="s">
        <v>47</v>
      </c>
      <c r="B30" s="49">
        <v>14.9</v>
      </c>
      <c r="C30" s="49" t="s">
        <v>76</v>
      </c>
      <c r="D30" s="49">
        <v>26.9</v>
      </c>
      <c r="E30" s="49">
        <v>26.8</v>
      </c>
      <c r="F30" s="49">
        <v>27.200000000000003</v>
      </c>
      <c r="G30" s="49">
        <v>12.1</v>
      </c>
    </row>
    <row r="31" spans="1:10" ht="14.25">
      <c r="A31" s="15" t="s">
        <v>48</v>
      </c>
      <c r="B31" s="49">
        <v>14.4</v>
      </c>
      <c r="C31" s="49" t="s">
        <v>76</v>
      </c>
      <c r="D31" s="49">
        <v>24.9</v>
      </c>
      <c r="E31" s="49">
        <v>25.2</v>
      </c>
      <c r="F31" s="49">
        <v>27.700000000000003</v>
      </c>
      <c r="G31" s="49">
        <v>12.5</v>
      </c>
    </row>
    <row r="32" spans="1:10" ht="14.25">
      <c r="A32" s="15" t="s">
        <v>50</v>
      </c>
      <c r="B32" s="49">
        <v>14.2</v>
      </c>
      <c r="C32" s="49" t="s">
        <v>76</v>
      </c>
      <c r="D32" s="49">
        <v>23.6</v>
      </c>
      <c r="E32" s="49">
        <v>27.3</v>
      </c>
      <c r="F32" s="49">
        <v>27.900000000000002</v>
      </c>
      <c r="G32" s="49">
        <v>13.1</v>
      </c>
    </row>
    <row r="33" spans="1:7" ht="14.25">
      <c r="A33" s="15" t="s">
        <v>51</v>
      </c>
      <c r="B33" s="49">
        <v>14.7</v>
      </c>
      <c r="C33" s="49" t="s">
        <v>76</v>
      </c>
      <c r="D33" s="49">
        <v>25</v>
      </c>
      <c r="E33" s="49">
        <v>27.2</v>
      </c>
      <c r="F33" s="49">
        <v>27.700000000000003</v>
      </c>
      <c r="G33" s="49">
        <v>11</v>
      </c>
    </row>
    <row r="34" spans="1:7" ht="14.25">
      <c r="A34" s="15" t="s">
        <v>52</v>
      </c>
      <c r="B34" s="49">
        <v>14.1</v>
      </c>
      <c r="C34" s="49">
        <v>219</v>
      </c>
      <c r="D34" s="49">
        <v>23.6</v>
      </c>
      <c r="E34" s="49">
        <v>28.1</v>
      </c>
      <c r="F34" s="49">
        <v>27.1</v>
      </c>
      <c r="G34" s="49">
        <v>11.2</v>
      </c>
    </row>
    <row r="35" spans="1:7" ht="14.25">
      <c r="A35" s="15"/>
      <c r="B35" s="49"/>
      <c r="C35" s="49"/>
      <c r="D35" s="49"/>
      <c r="E35" s="49"/>
      <c r="F35" s="49"/>
      <c r="G35" s="49"/>
    </row>
    <row r="36" spans="1:7" ht="15">
      <c r="A36" s="54" t="s">
        <v>54</v>
      </c>
      <c r="B36" s="49"/>
      <c r="C36" s="49"/>
      <c r="D36" s="49"/>
      <c r="E36" s="49"/>
      <c r="F36" s="49"/>
      <c r="G36" s="49"/>
    </row>
    <row r="37" spans="1:7" ht="14.25">
      <c r="A37" s="15" t="s">
        <v>38</v>
      </c>
      <c r="B37" s="49">
        <v>13.2</v>
      </c>
      <c r="C37" s="49">
        <v>242</v>
      </c>
      <c r="D37" s="49">
        <v>24</v>
      </c>
      <c r="E37" s="49">
        <v>25.1</v>
      </c>
      <c r="F37" s="49">
        <v>26.7</v>
      </c>
      <c r="G37" s="49">
        <v>12</v>
      </c>
    </row>
    <row r="38" spans="1:7" ht="14.25">
      <c r="A38" s="15" t="s">
        <v>39</v>
      </c>
      <c r="B38" s="49">
        <v>12.7</v>
      </c>
      <c r="C38" s="49">
        <v>233</v>
      </c>
      <c r="D38" s="49">
        <v>20.100000000000001</v>
      </c>
      <c r="E38" s="49">
        <v>23.6</v>
      </c>
      <c r="F38" s="49">
        <v>26.7</v>
      </c>
      <c r="G38" s="49">
        <v>13</v>
      </c>
    </row>
    <row r="39" spans="1:7" ht="14.25">
      <c r="A39" s="15" t="s">
        <v>40</v>
      </c>
      <c r="B39" s="49">
        <v>13</v>
      </c>
      <c r="C39" s="49">
        <v>226</v>
      </c>
      <c r="D39" s="49">
        <v>22.6</v>
      </c>
      <c r="E39" s="49">
        <v>25.5</v>
      </c>
      <c r="F39" s="49">
        <v>29.5</v>
      </c>
      <c r="G39" s="49">
        <v>12.2</v>
      </c>
    </row>
    <row r="40" spans="1:7" ht="14.25">
      <c r="A40" s="15" t="s">
        <v>42</v>
      </c>
      <c r="B40" s="49">
        <v>13.1</v>
      </c>
      <c r="C40" s="49">
        <v>209</v>
      </c>
      <c r="D40" s="49">
        <v>24.2</v>
      </c>
      <c r="E40" s="49">
        <v>24.2</v>
      </c>
      <c r="F40" s="49">
        <v>24.3</v>
      </c>
      <c r="G40" s="49">
        <v>13.4</v>
      </c>
    </row>
    <row r="41" spans="1:7" ht="14.25">
      <c r="A41" s="15" t="s">
        <v>43</v>
      </c>
      <c r="B41" s="49">
        <v>12.8</v>
      </c>
      <c r="C41" s="49">
        <v>174</v>
      </c>
      <c r="D41" s="49">
        <v>21.3</v>
      </c>
      <c r="E41" s="49">
        <v>24.4</v>
      </c>
      <c r="F41" s="49">
        <v>27.1</v>
      </c>
      <c r="G41" s="49">
        <v>12.1</v>
      </c>
    </row>
    <row r="42" spans="1:7" ht="14.25">
      <c r="A42" s="15" t="s">
        <v>44</v>
      </c>
      <c r="B42" s="49">
        <v>11.9</v>
      </c>
      <c r="C42" s="49">
        <v>177</v>
      </c>
      <c r="D42" s="49">
        <v>22.4</v>
      </c>
      <c r="E42" s="49">
        <v>22.6</v>
      </c>
      <c r="F42" s="49">
        <v>26.4</v>
      </c>
      <c r="G42" s="49">
        <v>12.3</v>
      </c>
    </row>
    <row r="43" spans="1:7" ht="14.25">
      <c r="A43" s="15" t="s">
        <v>46</v>
      </c>
      <c r="B43" s="49">
        <v>11.8</v>
      </c>
      <c r="C43" s="49" t="s">
        <v>76</v>
      </c>
      <c r="D43" s="49">
        <v>22.5</v>
      </c>
      <c r="E43" s="49">
        <v>21.6</v>
      </c>
      <c r="F43" s="49">
        <v>27</v>
      </c>
      <c r="G43" s="49">
        <v>11.5</v>
      </c>
    </row>
    <row r="44" spans="1:7" ht="16.5">
      <c r="A44" s="72" t="s">
        <v>120</v>
      </c>
      <c r="B44" s="72"/>
      <c r="C44" s="72"/>
      <c r="D44" s="72"/>
      <c r="E44" s="72"/>
      <c r="F44" s="72"/>
      <c r="G44" s="72"/>
    </row>
    <row r="45" spans="1:7" ht="14.25">
      <c r="A45" s="15" t="s">
        <v>121</v>
      </c>
      <c r="B45" s="15"/>
      <c r="C45" s="15"/>
      <c r="D45" s="15"/>
      <c r="E45" s="15"/>
      <c r="F45" s="15"/>
      <c r="G45" s="15"/>
    </row>
    <row r="46" spans="1:7" ht="14.25">
      <c r="A46" s="20" t="s">
        <v>57</v>
      </c>
      <c r="B46" s="37">
        <f>Contents!A16</f>
        <v>45426</v>
      </c>
      <c r="C46" s="15"/>
      <c r="D46" s="15"/>
      <c r="E46" s="15"/>
      <c r="F46" s="15"/>
      <c r="G46" s="15"/>
    </row>
  </sheetData>
  <phoneticPr fontId="43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7"/>
  <sheetViews>
    <sheetView showGridLines="0" zoomScale="70" zoomScaleNormal="70" workbookViewId="0">
      <pane xSplit="1" ySplit="4" topLeftCell="B13" activePane="bottomRight" state="frozen"/>
      <selection activeCell="G51" sqref="G51"/>
      <selection pane="topRight" activeCell="G51" sqref="G51"/>
      <selection pane="bottomLeft" activeCell="G51" sqref="G51"/>
      <selection pane="bottomRight"/>
    </sheetView>
  </sheetViews>
  <sheetFormatPr defaultColWidth="9.140625" defaultRowHeight="12.75"/>
  <cols>
    <col min="1" max="3" width="11.5703125" customWidth="1"/>
    <col min="4" max="4" width="13.5703125" customWidth="1"/>
    <col min="5" max="5" width="11.5703125" customWidth="1"/>
    <col min="6" max="6" width="11.5703125" bestFit="1" customWidth="1"/>
    <col min="7" max="7" width="13.28515625" customWidth="1"/>
    <col min="8" max="8" width="12" customWidth="1"/>
    <col min="9" max="9" width="13.42578125" customWidth="1"/>
  </cols>
  <sheetData>
    <row r="1" spans="1:13" ht="14.25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5" t="s">
        <v>96</v>
      </c>
      <c r="B2" s="17" t="s">
        <v>122</v>
      </c>
      <c r="C2" s="17" t="s">
        <v>123</v>
      </c>
      <c r="D2" s="17" t="s">
        <v>124</v>
      </c>
      <c r="E2" s="56" t="s">
        <v>125</v>
      </c>
      <c r="F2" s="56" t="s">
        <v>126</v>
      </c>
      <c r="G2" s="17" t="s">
        <v>127</v>
      </c>
      <c r="H2" s="17" t="s">
        <v>128</v>
      </c>
      <c r="I2" s="57" t="s">
        <v>129</v>
      </c>
      <c r="K2" s="17"/>
      <c r="L2" s="17"/>
    </row>
    <row r="3" spans="1:13" ht="15.6" customHeight="1">
      <c r="A3" s="58" t="s">
        <v>103</v>
      </c>
      <c r="B3" s="23" t="s">
        <v>130</v>
      </c>
      <c r="C3" s="23" t="s">
        <v>131</v>
      </c>
      <c r="D3" s="23" t="s">
        <v>132</v>
      </c>
      <c r="E3" s="23" t="s">
        <v>132</v>
      </c>
      <c r="F3" s="23" t="s">
        <v>133</v>
      </c>
      <c r="G3" s="23" t="s">
        <v>134</v>
      </c>
      <c r="H3" s="23"/>
      <c r="I3" s="23" t="s">
        <v>135</v>
      </c>
    </row>
    <row r="4" spans="1:13" ht="14.25">
      <c r="A4" s="59" t="s">
        <v>136</v>
      </c>
      <c r="C4" s="60"/>
      <c r="D4" s="60"/>
      <c r="E4" s="60"/>
      <c r="F4" s="60"/>
      <c r="G4" s="60"/>
      <c r="H4" s="60"/>
      <c r="I4" s="60"/>
    </row>
    <row r="5" spans="1:13" ht="14.25">
      <c r="A5" s="15"/>
      <c r="B5" s="15"/>
      <c r="C5" s="15"/>
      <c r="D5" s="15"/>
      <c r="E5" s="15"/>
      <c r="F5" s="15"/>
      <c r="G5" s="15"/>
      <c r="H5" s="15"/>
      <c r="I5" s="15"/>
      <c r="K5" s="64"/>
    </row>
    <row r="6" spans="1:13" ht="14.25">
      <c r="A6" s="15" t="s">
        <v>108</v>
      </c>
      <c r="B6" s="49">
        <v>53.2</v>
      </c>
      <c r="C6" s="49">
        <v>54.5</v>
      </c>
      <c r="D6" s="49">
        <v>86.12</v>
      </c>
      <c r="E6" s="49">
        <v>58.68</v>
      </c>
      <c r="F6" s="49">
        <v>77.239999999999995</v>
      </c>
      <c r="G6" s="49">
        <v>60.76</v>
      </c>
      <c r="H6" s="49">
        <v>51.52</v>
      </c>
      <c r="I6" s="49">
        <v>51.34</v>
      </c>
      <c r="K6" s="64"/>
      <c r="L6" s="64"/>
      <c r="M6" s="64"/>
    </row>
    <row r="7" spans="1:13" ht="14.25">
      <c r="A7" s="15" t="s">
        <v>109</v>
      </c>
      <c r="B7" s="49">
        <v>51.9</v>
      </c>
      <c r="C7" s="49">
        <v>53.22</v>
      </c>
      <c r="D7" s="49">
        <v>83.2</v>
      </c>
      <c r="E7" s="49">
        <v>57.19</v>
      </c>
      <c r="F7" s="49">
        <v>100.15</v>
      </c>
      <c r="G7" s="49">
        <v>56.09</v>
      </c>
      <c r="H7" s="49">
        <v>48.11</v>
      </c>
      <c r="I7" s="49">
        <v>50.33</v>
      </c>
      <c r="K7" s="64"/>
      <c r="L7" s="64"/>
      <c r="M7" s="64"/>
    </row>
    <row r="8" spans="1:13" ht="14.25">
      <c r="A8" s="15" t="s">
        <v>110</v>
      </c>
      <c r="B8" s="49">
        <v>47.13</v>
      </c>
      <c r="C8" s="49">
        <v>48.6</v>
      </c>
      <c r="D8" s="49">
        <v>65.87</v>
      </c>
      <c r="E8" s="49">
        <v>56.17</v>
      </c>
      <c r="F8" s="49">
        <v>91.83</v>
      </c>
      <c r="G8" s="49">
        <v>46.66</v>
      </c>
      <c r="H8" s="49">
        <v>51.8</v>
      </c>
      <c r="I8" s="49">
        <v>43.24</v>
      </c>
      <c r="K8" s="64"/>
      <c r="L8" s="64"/>
      <c r="M8" s="64"/>
    </row>
    <row r="9" spans="1:13" ht="14.25">
      <c r="A9" s="15" t="s">
        <v>111</v>
      </c>
      <c r="B9" s="49">
        <v>38.229999999999997</v>
      </c>
      <c r="C9" s="49">
        <v>60.66</v>
      </c>
      <c r="D9" s="49">
        <v>59.12</v>
      </c>
      <c r="E9" s="49">
        <v>43.7</v>
      </c>
      <c r="F9" s="49">
        <v>68.23</v>
      </c>
      <c r="G9" s="49">
        <v>39.43</v>
      </c>
      <c r="H9" s="49">
        <v>43.93</v>
      </c>
      <c r="I9" s="49">
        <v>39.76</v>
      </c>
      <c r="K9" s="64"/>
      <c r="L9" s="64"/>
      <c r="M9" s="64"/>
    </row>
    <row r="10" spans="1:13" ht="14.25">
      <c r="A10" s="15" t="s">
        <v>112</v>
      </c>
      <c r="B10" s="49">
        <v>31.6</v>
      </c>
      <c r="C10" s="49">
        <v>45.74</v>
      </c>
      <c r="D10" s="49">
        <v>66.72</v>
      </c>
      <c r="E10" s="49">
        <v>37.81</v>
      </c>
      <c r="F10" s="49">
        <v>57.96</v>
      </c>
      <c r="G10" s="49">
        <v>37.479999999999997</v>
      </c>
      <c r="H10" s="49">
        <v>33.43</v>
      </c>
      <c r="I10" s="49">
        <v>31.36</v>
      </c>
      <c r="K10" s="64"/>
      <c r="L10" s="64"/>
      <c r="M10" s="64"/>
    </row>
    <row r="11" spans="1:13" ht="14.25">
      <c r="A11" s="15" t="s">
        <v>113</v>
      </c>
      <c r="B11" s="49">
        <v>29.86</v>
      </c>
      <c r="C11" s="49">
        <v>45.87</v>
      </c>
      <c r="D11" s="49">
        <v>57.81</v>
      </c>
      <c r="E11" s="49">
        <v>35.270000000000003</v>
      </c>
      <c r="F11" s="49">
        <v>58.26</v>
      </c>
      <c r="G11" s="49">
        <v>39.25</v>
      </c>
      <c r="H11" s="49">
        <v>32.229999999999997</v>
      </c>
      <c r="I11" s="49">
        <v>30.07</v>
      </c>
      <c r="K11" s="64"/>
      <c r="L11" s="64"/>
      <c r="M11" s="64"/>
    </row>
    <row r="12" spans="1:13" ht="14.25">
      <c r="A12" s="15" t="s">
        <v>114</v>
      </c>
      <c r="B12" s="49">
        <v>32.549999999999997</v>
      </c>
      <c r="C12" s="49">
        <v>40.92</v>
      </c>
      <c r="D12" s="49">
        <v>53.54</v>
      </c>
      <c r="E12" s="49">
        <v>38.729999999999997</v>
      </c>
      <c r="F12" s="49">
        <v>66.73</v>
      </c>
      <c r="G12" s="49">
        <v>37.43</v>
      </c>
      <c r="H12" s="49">
        <v>33.07</v>
      </c>
      <c r="I12" s="49">
        <v>34.75</v>
      </c>
      <c r="K12" s="64"/>
      <c r="L12" s="64"/>
      <c r="M12" s="64"/>
    </row>
    <row r="13" spans="1:13" ht="14.25">
      <c r="A13" s="15" t="s">
        <v>115</v>
      </c>
      <c r="B13" s="49">
        <v>30.04</v>
      </c>
      <c r="C13" s="49">
        <v>31.87</v>
      </c>
      <c r="D13" s="49">
        <v>54.57</v>
      </c>
      <c r="E13" s="49">
        <v>38.270000000000003</v>
      </c>
      <c r="F13" s="49">
        <v>66.72</v>
      </c>
      <c r="G13" s="49">
        <v>30.35</v>
      </c>
      <c r="H13" s="49">
        <v>34.159999999999997</v>
      </c>
      <c r="I13" s="49">
        <v>31.21</v>
      </c>
      <c r="K13" s="64"/>
      <c r="L13" s="64"/>
      <c r="M13" s="64"/>
    </row>
    <row r="14" spans="1:13" ht="14.25">
      <c r="A14" s="15" t="s">
        <v>116</v>
      </c>
      <c r="B14" s="49">
        <v>28.26</v>
      </c>
      <c r="C14" s="49">
        <v>35.14</v>
      </c>
      <c r="D14" s="49">
        <v>53.28</v>
      </c>
      <c r="E14" s="49">
        <v>36.090000000000003</v>
      </c>
      <c r="F14" s="49">
        <v>64.72</v>
      </c>
      <c r="G14" s="49">
        <v>26.93</v>
      </c>
      <c r="H14" s="49">
        <v>31.65</v>
      </c>
      <c r="I14" s="49">
        <v>33.11</v>
      </c>
      <c r="K14" s="64"/>
      <c r="L14" s="64"/>
      <c r="M14" s="64"/>
    </row>
    <row r="15" spans="1:13" ht="14.25">
      <c r="A15" s="15" t="s">
        <v>117</v>
      </c>
      <c r="B15" s="49">
        <v>29.65</v>
      </c>
      <c r="C15" s="49">
        <v>40.18</v>
      </c>
      <c r="D15" s="49">
        <v>65.03</v>
      </c>
      <c r="E15" s="49">
        <v>37.869999999999997</v>
      </c>
      <c r="F15" s="49">
        <v>62</v>
      </c>
      <c r="G15" s="49">
        <v>39.47</v>
      </c>
      <c r="H15" s="49">
        <v>35.75</v>
      </c>
      <c r="I15" s="49">
        <v>38.369999999999997</v>
      </c>
      <c r="K15" s="64"/>
      <c r="L15" s="64"/>
      <c r="M15" s="64"/>
    </row>
    <row r="16" spans="1:13" ht="14.25">
      <c r="A16" s="15" t="s">
        <v>118</v>
      </c>
      <c r="B16" s="49">
        <v>56.87</v>
      </c>
      <c r="C16" s="49">
        <v>80.94</v>
      </c>
      <c r="D16" s="49">
        <v>79</v>
      </c>
      <c r="E16" s="49">
        <v>70.459999999999994</v>
      </c>
      <c r="F16" s="49">
        <v>101.4</v>
      </c>
      <c r="G16" s="49">
        <v>53.88</v>
      </c>
      <c r="H16" s="49">
        <v>55.89</v>
      </c>
      <c r="I16" s="49">
        <v>54.98</v>
      </c>
      <c r="K16" s="64"/>
      <c r="L16" s="64"/>
      <c r="M16" s="64"/>
    </row>
    <row r="17" spans="1:13" ht="14.25">
      <c r="A17" s="15" t="s">
        <v>34</v>
      </c>
      <c r="B17" s="49">
        <v>72.98</v>
      </c>
      <c r="C17" s="49">
        <v>107.15</v>
      </c>
      <c r="D17" s="49">
        <v>111.39</v>
      </c>
      <c r="E17" s="49">
        <v>90.52</v>
      </c>
      <c r="F17" s="49">
        <v>107.22</v>
      </c>
      <c r="G17" s="49">
        <v>64.28</v>
      </c>
      <c r="H17" s="49">
        <v>82</v>
      </c>
      <c r="I17" s="49">
        <v>81.84</v>
      </c>
      <c r="K17" s="64"/>
      <c r="L17" s="64"/>
      <c r="M17" s="64"/>
    </row>
    <row r="18" spans="1:13" ht="14.25">
      <c r="A18" s="15" t="s">
        <v>37</v>
      </c>
      <c r="B18" s="49">
        <v>65.260000000000005</v>
      </c>
      <c r="C18" s="49">
        <v>102.53</v>
      </c>
      <c r="D18" s="49">
        <v>80.11</v>
      </c>
      <c r="E18" s="49">
        <v>73.14</v>
      </c>
      <c r="F18" s="49">
        <v>93.52</v>
      </c>
      <c r="G18" s="49">
        <v>61.62</v>
      </c>
      <c r="H18" s="49">
        <v>84.25</v>
      </c>
      <c r="I18" s="49">
        <v>76.95</v>
      </c>
      <c r="K18" s="64"/>
      <c r="L18" s="64"/>
      <c r="M18" s="64"/>
    </row>
    <row r="19" spans="1:13" ht="16.5">
      <c r="A19" s="15" t="s">
        <v>137</v>
      </c>
      <c r="B19" s="49">
        <v>48</v>
      </c>
      <c r="C19" s="49">
        <v>79</v>
      </c>
      <c r="D19" s="49">
        <v>0.57999999999999985</v>
      </c>
      <c r="E19" s="49">
        <v>55.999999999999986</v>
      </c>
      <c r="F19" s="49">
        <v>76.999999999999986</v>
      </c>
      <c r="G19" s="95" t="s">
        <v>76</v>
      </c>
      <c r="H19" s="95">
        <v>59</v>
      </c>
      <c r="I19" s="95">
        <v>54</v>
      </c>
      <c r="K19" s="64"/>
      <c r="L19" s="64"/>
      <c r="M19" s="64"/>
    </row>
    <row r="20" spans="1:13" ht="16.5">
      <c r="A20" s="15" t="s">
        <v>167</v>
      </c>
      <c r="B20" s="49">
        <v>42</v>
      </c>
      <c r="C20" s="49">
        <v>71</v>
      </c>
      <c r="D20" s="49">
        <v>0.62</v>
      </c>
      <c r="E20" s="49">
        <v>49</v>
      </c>
      <c r="F20" s="49">
        <v>75</v>
      </c>
      <c r="G20" s="95" t="s">
        <v>76</v>
      </c>
      <c r="H20" s="95">
        <v>51</v>
      </c>
      <c r="I20" s="95">
        <v>46</v>
      </c>
      <c r="K20" s="64"/>
      <c r="L20" s="64"/>
      <c r="M20" s="64"/>
    </row>
    <row r="21" spans="1:13" ht="14.25">
      <c r="A21" s="15"/>
      <c r="B21" s="108"/>
      <c r="C21" s="108"/>
      <c r="D21" s="108"/>
      <c r="E21" s="108"/>
      <c r="F21" s="108"/>
      <c r="G21" s="108"/>
      <c r="H21" s="108"/>
      <c r="I21" s="108"/>
    </row>
    <row r="22" spans="1:13" ht="15">
      <c r="A22" s="31" t="s">
        <v>37</v>
      </c>
      <c r="B22" s="49"/>
      <c r="C22" s="49"/>
      <c r="D22" s="49"/>
      <c r="E22" s="49"/>
      <c r="F22" s="49"/>
      <c r="G22" s="49"/>
      <c r="H22" s="49"/>
      <c r="I22" s="49"/>
    </row>
    <row r="23" spans="1:13" ht="14.25">
      <c r="A23" s="15" t="s">
        <v>39</v>
      </c>
      <c r="B23" s="49">
        <v>72.67</v>
      </c>
      <c r="C23" s="49">
        <v>110.1875</v>
      </c>
      <c r="D23" s="49">
        <v>93.75</v>
      </c>
      <c r="E23" s="49">
        <v>80.125</v>
      </c>
      <c r="F23" s="49">
        <v>107.75</v>
      </c>
      <c r="G23" s="49">
        <v>65.412499999999994</v>
      </c>
      <c r="H23" s="49">
        <v>88</v>
      </c>
      <c r="I23" s="49">
        <v>88.5</v>
      </c>
      <c r="K23" s="64"/>
      <c r="M23" s="64"/>
    </row>
    <row r="24" spans="1:13" ht="14.25">
      <c r="A24" s="15" t="s">
        <v>40</v>
      </c>
      <c r="B24" s="49">
        <v>79.180000000000007</v>
      </c>
      <c r="C24" s="49">
        <v>116.6875</v>
      </c>
      <c r="D24" s="49">
        <v>106</v>
      </c>
      <c r="E24" s="49">
        <v>84.375</v>
      </c>
      <c r="F24" s="49">
        <v>111</v>
      </c>
      <c r="G24" s="49">
        <v>69.67</v>
      </c>
      <c r="H24" s="49" t="s">
        <v>76</v>
      </c>
      <c r="I24" s="49">
        <v>88.5</v>
      </c>
      <c r="K24" s="64"/>
      <c r="M24" s="64"/>
    </row>
    <row r="25" spans="1:13" ht="14.25">
      <c r="A25" s="15" t="s">
        <v>42</v>
      </c>
      <c r="B25" s="49">
        <v>68.14</v>
      </c>
      <c r="C25" s="49">
        <v>105.1</v>
      </c>
      <c r="D25" s="49">
        <v>92.3</v>
      </c>
      <c r="E25" s="49">
        <v>74.05</v>
      </c>
      <c r="F25" s="49">
        <v>101</v>
      </c>
      <c r="G25" s="49">
        <v>60</v>
      </c>
      <c r="H25" s="49" t="s">
        <v>76</v>
      </c>
      <c r="I25" s="49">
        <v>84</v>
      </c>
      <c r="K25" s="64"/>
      <c r="M25" s="64"/>
    </row>
    <row r="26" spans="1:13" ht="14.25">
      <c r="A26" s="15" t="s">
        <v>43</v>
      </c>
      <c r="B26" s="49">
        <v>66</v>
      </c>
      <c r="C26" s="49">
        <v>102.1875</v>
      </c>
      <c r="D26" s="49">
        <v>85.75</v>
      </c>
      <c r="E26" s="49">
        <v>71.1875</v>
      </c>
      <c r="F26" s="49">
        <v>95.375</v>
      </c>
      <c r="G26" s="49">
        <v>61</v>
      </c>
      <c r="H26" s="49">
        <v>87</v>
      </c>
      <c r="I26" s="49">
        <v>76.125</v>
      </c>
      <c r="K26" s="64"/>
      <c r="M26" s="64"/>
    </row>
    <row r="27" spans="1:13" ht="14.25">
      <c r="A27" s="15" t="s">
        <v>44</v>
      </c>
      <c r="B27" s="49">
        <v>63.242500000000007</v>
      </c>
      <c r="C27" s="49">
        <v>100</v>
      </c>
      <c r="D27" s="49">
        <v>81.25</v>
      </c>
      <c r="E27" s="49">
        <v>68.25</v>
      </c>
      <c r="F27" s="49">
        <v>88</v>
      </c>
      <c r="G27" s="49" t="s">
        <v>76</v>
      </c>
      <c r="H27" s="49" t="s">
        <v>76</v>
      </c>
      <c r="I27" s="49">
        <v>63.95</v>
      </c>
      <c r="K27" s="64"/>
      <c r="M27" s="64"/>
    </row>
    <row r="28" spans="1:13" ht="14.25">
      <c r="A28" s="15" t="s">
        <v>46</v>
      </c>
      <c r="B28" s="49">
        <v>58.83</v>
      </c>
      <c r="C28" s="49">
        <v>96.55</v>
      </c>
      <c r="D28" s="49">
        <v>76.599999999999994</v>
      </c>
      <c r="E28" s="49">
        <v>64.599999999999994</v>
      </c>
      <c r="F28" s="49">
        <v>84.4</v>
      </c>
      <c r="G28" s="49" t="s">
        <v>76</v>
      </c>
      <c r="H28" s="49" t="s">
        <v>76</v>
      </c>
      <c r="I28" s="49">
        <v>66.25</v>
      </c>
      <c r="K28" s="64"/>
      <c r="M28" s="64"/>
    </row>
    <row r="29" spans="1:13" ht="14.25">
      <c r="A29" s="15" t="s">
        <v>47</v>
      </c>
      <c r="B29" s="49">
        <v>55.474999999999994</v>
      </c>
      <c r="C29" s="49">
        <v>92.5625</v>
      </c>
      <c r="D29" s="49">
        <v>73</v>
      </c>
      <c r="E29" s="49">
        <v>62.625</v>
      </c>
      <c r="F29" s="49">
        <v>81.75</v>
      </c>
      <c r="G29" s="49" t="s">
        <v>76</v>
      </c>
      <c r="H29" s="49">
        <v>82</v>
      </c>
      <c r="I29" s="49" t="s">
        <v>76</v>
      </c>
      <c r="K29" s="64"/>
      <c r="M29" s="64"/>
    </row>
    <row r="30" spans="1:13" ht="14.25">
      <c r="A30" s="15" t="s">
        <v>48</v>
      </c>
      <c r="B30" s="49">
        <v>52.484999999999999</v>
      </c>
      <c r="C30" s="49">
        <v>91.75</v>
      </c>
      <c r="D30" s="49">
        <v>68.625</v>
      </c>
      <c r="E30" s="49">
        <v>62.125</v>
      </c>
      <c r="F30" s="49">
        <v>85.5</v>
      </c>
      <c r="G30" s="49">
        <v>52</v>
      </c>
      <c r="H30" s="49" t="s">
        <v>76</v>
      </c>
      <c r="I30" s="49" t="s">
        <v>76</v>
      </c>
      <c r="K30" s="64"/>
      <c r="M30" s="64"/>
    </row>
    <row r="31" spans="1:13" ht="14.25">
      <c r="A31" s="15" t="s">
        <v>50</v>
      </c>
      <c r="B31" s="49">
        <v>60.007999999999996</v>
      </c>
      <c r="C31" s="49">
        <v>97.85</v>
      </c>
      <c r="D31" s="49">
        <v>67</v>
      </c>
      <c r="E31" s="49">
        <v>71.849999999999994</v>
      </c>
      <c r="F31" s="49">
        <v>89.6</v>
      </c>
      <c r="G31" s="49" t="s">
        <v>76</v>
      </c>
      <c r="H31" s="49">
        <v>80</v>
      </c>
      <c r="I31" s="49">
        <v>74.59</v>
      </c>
      <c r="K31" s="64"/>
      <c r="M31" s="64"/>
    </row>
    <row r="32" spans="1:13" ht="14.25">
      <c r="A32" s="15" t="s">
        <v>51</v>
      </c>
      <c r="B32" s="49">
        <v>70.887499999999989</v>
      </c>
      <c r="C32" s="49">
        <v>107.75</v>
      </c>
      <c r="D32" s="49">
        <v>73.25</v>
      </c>
      <c r="E32" s="49">
        <v>83</v>
      </c>
      <c r="F32" s="49">
        <v>94.25</v>
      </c>
      <c r="G32" s="49" t="s">
        <v>76</v>
      </c>
      <c r="H32" s="49" t="s">
        <v>76</v>
      </c>
      <c r="I32" s="49">
        <v>74.625</v>
      </c>
      <c r="K32" s="64"/>
      <c r="M32" s="64"/>
    </row>
    <row r="33" spans="1:13" ht="14.25">
      <c r="A33" s="15" t="s">
        <v>52</v>
      </c>
      <c r="B33" s="49">
        <v>70.966999999999999</v>
      </c>
      <c r="C33" s="49">
        <v>108.19</v>
      </c>
      <c r="D33" s="49">
        <v>72.69</v>
      </c>
      <c r="E33" s="49">
        <v>81.69</v>
      </c>
      <c r="F33" s="49">
        <v>95.25</v>
      </c>
      <c r="G33" s="49" t="s">
        <v>76</v>
      </c>
      <c r="H33" s="49" t="s">
        <v>76</v>
      </c>
      <c r="I33" s="49">
        <v>76.7</v>
      </c>
      <c r="K33" s="64"/>
      <c r="M33" s="64"/>
    </row>
    <row r="34" spans="1:13" ht="14.25">
      <c r="A34" s="15" t="s">
        <v>38</v>
      </c>
      <c r="B34" s="49">
        <v>65.227999999999994</v>
      </c>
      <c r="C34" s="49">
        <v>101.5</v>
      </c>
      <c r="D34" s="49">
        <v>71.099999999999994</v>
      </c>
      <c r="E34" s="49">
        <v>73.75</v>
      </c>
      <c r="F34" s="49">
        <v>88.4</v>
      </c>
      <c r="G34" s="49" t="s">
        <v>76</v>
      </c>
      <c r="H34" s="49" t="s">
        <v>76</v>
      </c>
      <c r="I34" s="49">
        <v>76.25</v>
      </c>
      <c r="K34" s="64"/>
      <c r="M34" s="64"/>
    </row>
    <row r="35" spans="1:13" ht="14.25">
      <c r="A35" s="15"/>
      <c r="B35" s="49"/>
      <c r="C35" s="49"/>
      <c r="D35" s="49"/>
      <c r="E35" s="49"/>
      <c r="F35" s="49"/>
      <c r="G35" s="49"/>
      <c r="H35" s="49"/>
      <c r="I35" s="49"/>
      <c r="K35" s="64"/>
      <c r="M35" s="64"/>
    </row>
    <row r="36" spans="1:13" ht="15">
      <c r="A36" s="31" t="s">
        <v>54</v>
      </c>
      <c r="B36" s="49"/>
      <c r="C36" s="49"/>
      <c r="D36" s="49"/>
      <c r="E36" s="49"/>
      <c r="F36" s="49"/>
      <c r="G36" s="49"/>
      <c r="H36" s="49"/>
      <c r="I36" s="49"/>
      <c r="J36" s="106"/>
      <c r="K36" s="64"/>
      <c r="M36" s="64"/>
    </row>
    <row r="37" spans="1:13" ht="14.25">
      <c r="A37" s="15" t="s">
        <v>39</v>
      </c>
      <c r="B37" s="49">
        <v>56.599999999999994</v>
      </c>
      <c r="C37" s="49">
        <v>92</v>
      </c>
      <c r="D37" s="49">
        <v>64.75</v>
      </c>
      <c r="E37" s="49">
        <v>65.1875</v>
      </c>
      <c r="F37" s="49">
        <v>83.25</v>
      </c>
      <c r="G37" s="49" t="s">
        <v>76</v>
      </c>
      <c r="H37" s="95">
        <v>90</v>
      </c>
      <c r="I37" s="49">
        <v>65.17</v>
      </c>
      <c r="J37" s="194"/>
      <c r="K37" s="64"/>
      <c r="M37" s="64"/>
    </row>
    <row r="38" spans="1:13" ht="14.25">
      <c r="A38" s="15" t="s">
        <v>40</v>
      </c>
      <c r="B38" s="49">
        <v>53.39</v>
      </c>
      <c r="C38" s="49">
        <v>86.38</v>
      </c>
      <c r="D38" s="49">
        <v>62.25</v>
      </c>
      <c r="E38" s="49">
        <v>61.63</v>
      </c>
      <c r="F38" s="49">
        <v>81.5</v>
      </c>
      <c r="G38" s="49" t="s">
        <v>76</v>
      </c>
      <c r="H38" s="95" t="s">
        <v>76</v>
      </c>
      <c r="I38" s="49">
        <v>57.024999999999999</v>
      </c>
      <c r="J38" s="194"/>
      <c r="K38" s="64"/>
      <c r="M38" s="64"/>
    </row>
    <row r="39" spans="1:13" ht="14.25">
      <c r="A39" s="15" t="s">
        <v>42</v>
      </c>
      <c r="B39" s="49">
        <v>52.33</v>
      </c>
      <c r="C39" s="49">
        <v>83.1</v>
      </c>
      <c r="D39" s="49">
        <v>58.6</v>
      </c>
      <c r="E39" s="49">
        <v>59.45</v>
      </c>
      <c r="F39" s="49">
        <v>77.8</v>
      </c>
      <c r="G39" s="49" t="s">
        <v>76</v>
      </c>
      <c r="H39" s="95">
        <v>65</v>
      </c>
      <c r="I39" s="49">
        <v>50.67</v>
      </c>
      <c r="J39" s="194"/>
      <c r="K39" s="64"/>
      <c r="M39" s="64"/>
    </row>
    <row r="40" spans="1:13" ht="14.25">
      <c r="A40" s="15" t="s">
        <v>43</v>
      </c>
      <c r="B40" s="49">
        <v>49.1</v>
      </c>
      <c r="C40" s="49">
        <v>79.5</v>
      </c>
      <c r="D40" s="49">
        <v>58.13</v>
      </c>
      <c r="E40" s="49">
        <v>57.25</v>
      </c>
      <c r="F40" s="49">
        <v>76.5</v>
      </c>
      <c r="G40" s="49" t="s">
        <v>76</v>
      </c>
      <c r="H40" s="95" t="s">
        <v>76</v>
      </c>
      <c r="I40" s="49" t="s">
        <v>76</v>
      </c>
      <c r="J40" s="194"/>
      <c r="K40" s="64"/>
      <c r="M40" s="64"/>
    </row>
    <row r="41" spans="1:13" ht="14.25">
      <c r="A41" s="15" t="s">
        <v>44</v>
      </c>
      <c r="B41" s="49">
        <v>47.327500000000001</v>
      </c>
      <c r="C41" s="49">
        <v>76.5</v>
      </c>
      <c r="D41" s="49">
        <v>57.38</v>
      </c>
      <c r="E41" s="49">
        <v>53.06</v>
      </c>
      <c r="F41" s="49">
        <v>76.75</v>
      </c>
      <c r="G41" s="49" t="s">
        <v>76</v>
      </c>
      <c r="H41" s="95">
        <v>45.33</v>
      </c>
      <c r="I41" s="49">
        <v>52.5</v>
      </c>
      <c r="J41" s="194"/>
      <c r="K41" s="64"/>
      <c r="M41" s="64"/>
    </row>
    <row r="42" spans="1:13" ht="14.25">
      <c r="A42" s="15" t="s">
        <v>46</v>
      </c>
      <c r="B42" s="49">
        <v>46.957999999999998</v>
      </c>
      <c r="C42" s="49">
        <v>79.95</v>
      </c>
      <c r="D42" s="49">
        <v>57.45</v>
      </c>
      <c r="E42" s="49">
        <v>55.55</v>
      </c>
      <c r="F42" s="49">
        <v>76</v>
      </c>
      <c r="G42" s="49" t="s">
        <v>76</v>
      </c>
      <c r="H42" s="95" t="s">
        <v>76</v>
      </c>
      <c r="I42" s="49">
        <v>52</v>
      </c>
      <c r="J42" s="106"/>
      <c r="K42" s="64"/>
      <c r="M42" s="64"/>
    </row>
    <row r="43" spans="1:13" ht="14.25">
      <c r="A43" s="15" t="s">
        <v>47</v>
      </c>
      <c r="B43" s="49">
        <v>45.1325</v>
      </c>
      <c r="C43" s="49">
        <v>77.25</v>
      </c>
      <c r="D43" s="49">
        <v>56.06</v>
      </c>
      <c r="E43" s="49">
        <v>54.38</v>
      </c>
      <c r="F43" s="49">
        <v>75.13</v>
      </c>
      <c r="G43" s="49" t="s">
        <v>76</v>
      </c>
      <c r="H43" s="95">
        <v>41</v>
      </c>
      <c r="I43" s="49">
        <v>52.17</v>
      </c>
      <c r="J43" s="194"/>
      <c r="K43" s="64"/>
      <c r="M43" s="64"/>
    </row>
    <row r="44" spans="1:13" ht="16.5">
      <c r="A44" s="82" t="s">
        <v>138</v>
      </c>
      <c r="B44" s="124"/>
      <c r="C44" s="124"/>
      <c r="D44" s="124"/>
      <c r="E44" s="124"/>
      <c r="F44" s="124"/>
      <c r="G44" s="124"/>
      <c r="H44" s="124"/>
      <c r="I44" s="125"/>
    </row>
    <row r="45" spans="1:13" ht="16.5">
      <c r="A45" s="15" t="s">
        <v>139</v>
      </c>
      <c r="B45" s="62"/>
      <c r="C45" s="62"/>
      <c r="D45" s="62"/>
      <c r="E45" s="62"/>
      <c r="F45" s="62"/>
      <c r="G45" s="62"/>
      <c r="H45" s="62"/>
      <c r="I45" s="62"/>
    </row>
    <row r="46" spans="1:13" ht="14.25">
      <c r="A46" s="15" t="s">
        <v>140</v>
      </c>
      <c r="B46" s="15"/>
      <c r="C46" s="15"/>
      <c r="D46" s="15"/>
      <c r="E46" s="15"/>
      <c r="F46" s="62"/>
      <c r="G46" s="15"/>
      <c r="H46" s="15"/>
      <c r="I46" s="15"/>
    </row>
    <row r="47" spans="1:13" ht="14.25">
      <c r="A47" s="20" t="s">
        <v>57</v>
      </c>
      <c r="B47" s="37">
        <f>Contents!A16</f>
        <v>45426</v>
      </c>
      <c r="C47" s="15"/>
      <c r="D47" s="15"/>
      <c r="E47" s="15"/>
      <c r="F47" s="15"/>
      <c r="G47" s="15"/>
      <c r="H47" s="15"/>
      <c r="I47" s="15"/>
    </row>
    <row r="48" spans="1:13" ht="15.75">
      <c r="C48" s="63"/>
      <c r="G48" s="63"/>
      <c r="H48" s="63"/>
      <c r="I48" s="63"/>
    </row>
    <row r="49" spans="2:9" ht="15.75">
      <c r="B49" s="64"/>
      <c r="C49" s="64"/>
      <c r="D49" s="64"/>
      <c r="E49" s="64"/>
      <c r="F49" s="64"/>
      <c r="G49" s="64"/>
      <c r="H49" s="63"/>
      <c r="I49" s="63"/>
    </row>
    <row r="50" spans="2:9" ht="15.75">
      <c r="B50" s="88"/>
      <c r="C50" s="88"/>
      <c r="D50" s="88"/>
      <c r="E50" s="88"/>
      <c r="F50" s="88"/>
      <c r="G50" s="88"/>
      <c r="H50" s="63"/>
      <c r="I50" s="63"/>
    </row>
    <row r="51" spans="2:9" ht="15.75">
      <c r="C51" s="63"/>
      <c r="G51" s="63"/>
      <c r="H51" s="63"/>
      <c r="I51" s="63"/>
    </row>
    <row r="52" spans="2:9" ht="15.75">
      <c r="C52" s="63"/>
      <c r="G52" s="63"/>
      <c r="H52" s="63"/>
      <c r="I52" s="63"/>
    </row>
    <row r="53" spans="2:9" ht="15.75">
      <c r="C53" s="63"/>
      <c r="G53" s="63"/>
      <c r="H53" s="63"/>
      <c r="I53" s="63"/>
    </row>
    <row r="54" spans="2:9" ht="15.75">
      <c r="C54" s="63"/>
      <c r="G54" s="63"/>
      <c r="H54" s="63"/>
      <c r="I54" s="63"/>
    </row>
    <row r="55" spans="2:9" ht="15.75">
      <c r="C55" s="63"/>
      <c r="G55" s="63"/>
      <c r="H55" s="63"/>
      <c r="I55" s="63"/>
    </row>
    <row r="56" spans="2:9" ht="15.75">
      <c r="C56" s="63"/>
      <c r="G56" s="63"/>
      <c r="H56" s="63"/>
      <c r="I56" s="63"/>
    </row>
    <row r="57" spans="2:9" ht="15.75">
      <c r="C57" s="63"/>
      <c r="G57" s="63"/>
      <c r="H57" s="63"/>
      <c r="I57" s="63"/>
    </row>
    <row r="58" spans="2:9" ht="15.75">
      <c r="C58" s="63"/>
      <c r="G58" s="63"/>
      <c r="H58" s="63"/>
      <c r="I58" s="63"/>
    </row>
    <row r="59" spans="2:9" ht="15.75">
      <c r="C59" s="63"/>
      <c r="G59" s="63"/>
      <c r="H59" s="63"/>
      <c r="I59" s="63"/>
    </row>
    <row r="60" spans="2:9" ht="15.75">
      <c r="C60" s="63"/>
      <c r="G60" s="63"/>
      <c r="H60" s="63"/>
      <c r="I60" s="63"/>
    </row>
    <row r="61" spans="2:9" ht="15.75">
      <c r="C61" s="63"/>
      <c r="G61" s="63"/>
      <c r="H61" s="63"/>
      <c r="I61" s="63"/>
    </row>
    <row r="62" spans="2:9" ht="15.75">
      <c r="C62" s="63"/>
      <c r="G62" s="63"/>
      <c r="H62" s="63"/>
      <c r="I62" s="63"/>
    </row>
    <row r="63" spans="2:9" ht="15.75">
      <c r="C63" s="63"/>
      <c r="G63" s="63"/>
      <c r="H63" s="63"/>
      <c r="I63" s="63"/>
    </row>
    <row r="64" spans="2:9" ht="15.75">
      <c r="C64" s="63"/>
      <c r="H64" s="63"/>
      <c r="I64" s="63"/>
    </row>
    <row r="65" spans="3:9" ht="15.75">
      <c r="C65" s="63"/>
      <c r="H65" s="63"/>
      <c r="I65" s="63"/>
    </row>
    <row r="66" spans="3:9" ht="15.75">
      <c r="C66" s="63"/>
      <c r="F66" s="64"/>
      <c r="H66" s="63"/>
      <c r="I66" s="63"/>
    </row>
    <row r="67" spans="3:9" ht="15.75">
      <c r="F67" s="64"/>
      <c r="H67" s="63"/>
      <c r="I67" s="63"/>
    </row>
  </sheetData>
  <phoneticPr fontId="43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7"/>
  <sheetViews>
    <sheetView showGridLines="0" zoomScale="70" zoomScaleNormal="70" workbookViewId="0">
      <pane xSplit="1" ySplit="4" topLeftCell="B5" activePane="bottomRight" state="frozen"/>
      <selection activeCell="G51" sqref="G51"/>
      <selection pane="topRight" activeCell="G51" sqref="G51"/>
      <selection pane="bottomLeft" activeCell="G51" sqref="G51"/>
      <selection pane="bottomRight"/>
    </sheetView>
  </sheetViews>
  <sheetFormatPr defaultColWidth="9.140625" defaultRowHeight="12.75"/>
  <cols>
    <col min="1" max="1" width="11.5703125" customWidth="1"/>
    <col min="2" max="7" width="13.5703125" customWidth="1"/>
    <col min="8" max="8" width="12.42578125" bestFit="1" customWidth="1"/>
    <col min="9" max="9" width="11.42578125" customWidth="1"/>
    <col min="11" max="11" width="8.85546875" customWidth="1"/>
    <col min="12" max="12" width="18" bestFit="1" customWidth="1"/>
  </cols>
  <sheetData>
    <row r="1" spans="1:28" ht="14.25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122</v>
      </c>
      <c r="C2" s="65" t="s">
        <v>123</v>
      </c>
      <c r="D2" s="65" t="s">
        <v>124</v>
      </c>
      <c r="E2" s="65" t="s">
        <v>126</v>
      </c>
      <c r="F2" s="17" t="s">
        <v>141</v>
      </c>
      <c r="G2" s="17" t="s">
        <v>142</v>
      </c>
      <c r="AB2" s="66"/>
    </row>
    <row r="3" spans="1:28" ht="15.6" customHeight="1">
      <c r="A3" s="14" t="s">
        <v>103</v>
      </c>
      <c r="B3" s="23" t="s">
        <v>143</v>
      </c>
      <c r="C3" s="23" t="s">
        <v>144</v>
      </c>
      <c r="D3" s="23" t="s">
        <v>145</v>
      </c>
      <c r="E3" s="23" t="s">
        <v>146</v>
      </c>
      <c r="F3" s="23" t="s">
        <v>147</v>
      </c>
      <c r="G3" s="23" t="s">
        <v>148</v>
      </c>
      <c r="AB3" s="66"/>
    </row>
    <row r="4" spans="1:28" ht="14.25">
      <c r="A4" s="59" t="s">
        <v>149</v>
      </c>
      <c r="C4" s="60"/>
      <c r="D4" s="60"/>
      <c r="E4" s="60"/>
      <c r="F4" s="60"/>
      <c r="G4" s="60"/>
      <c r="AB4" s="66"/>
    </row>
    <row r="5" spans="1:28" ht="14.25">
      <c r="A5" s="15"/>
      <c r="B5" s="15"/>
      <c r="C5" s="15"/>
      <c r="D5" s="15"/>
      <c r="E5" s="15"/>
      <c r="F5" s="15"/>
      <c r="G5" s="15"/>
      <c r="AB5" s="66"/>
    </row>
    <row r="6" spans="1:28" ht="14.25">
      <c r="A6" s="15" t="s">
        <v>108</v>
      </c>
      <c r="B6" s="61">
        <v>345.52</v>
      </c>
      <c r="C6" s="61">
        <v>273.83999999999997</v>
      </c>
      <c r="D6" s="61">
        <v>219.72</v>
      </c>
      <c r="E6" s="53" t="s">
        <v>76</v>
      </c>
      <c r="F6" s="61">
        <v>263.63</v>
      </c>
      <c r="G6" s="61">
        <v>240.65</v>
      </c>
      <c r="H6" s="64"/>
      <c r="I6" s="64"/>
      <c r="AB6" s="66"/>
    </row>
    <row r="7" spans="1:28" ht="14.25">
      <c r="A7" s="15" t="s">
        <v>109</v>
      </c>
      <c r="B7" s="61">
        <v>393.53</v>
      </c>
      <c r="C7" s="61">
        <v>275.13</v>
      </c>
      <c r="D7" s="61">
        <v>246.75</v>
      </c>
      <c r="E7" s="53" t="s">
        <v>76</v>
      </c>
      <c r="F7" s="61">
        <v>307.58999999999997</v>
      </c>
      <c r="G7" s="61">
        <v>265.68</v>
      </c>
      <c r="H7" s="64"/>
      <c r="I7" s="64"/>
      <c r="AB7" s="66"/>
    </row>
    <row r="8" spans="1:28" ht="14.25">
      <c r="A8" s="15" t="s">
        <v>110</v>
      </c>
      <c r="B8" s="61">
        <v>468.11</v>
      </c>
      <c r="C8" s="61">
        <v>331.52</v>
      </c>
      <c r="D8" s="61">
        <v>241.57</v>
      </c>
      <c r="E8" s="53" t="s">
        <v>76</v>
      </c>
      <c r="F8" s="61">
        <v>354.22</v>
      </c>
      <c r="G8" s="61">
        <v>329.31</v>
      </c>
      <c r="H8" s="64"/>
      <c r="I8" s="64"/>
      <c r="AB8" s="66"/>
    </row>
    <row r="9" spans="1:28" ht="14.25">
      <c r="A9" s="15" t="s">
        <v>111</v>
      </c>
      <c r="B9" s="61">
        <v>489.94</v>
      </c>
      <c r="C9" s="61">
        <v>377.71</v>
      </c>
      <c r="D9" s="61">
        <v>238.87</v>
      </c>
      <c r="E9" s="53" t="s">
        <v>76</v>
      </c>
      <c r="F9" s="61">
        <v>359.7</v>
      </c>
      <c r="G9" s="61">
        <v>337.23</v>
      </c>
      <c r="H9" s="64"/>
      <c r="I9" s="64"/>
      <c r="AB9" s="66"/>
    </row>
    <row r="10" spans="1:28" ht="14.25">
      <c r="A10" s="15" t="s">
        <v>112</v>
      </c>
      <c r="B10" s="61">
        <v>368.49</v>
      </c>
      <c r="C10" s="61">
        <v>304.27</v>
      </c>
      <c r="D10" s="61">
        <v>209.97</v>
      </c>
      <c r="E10" s="53" t="s">
        <v>76</v>
      </c>
      <c r="F10" s="61">
        <v>301.2</v>
      </c>
      <c r="G10" s="61">
        <v>256.58</v>
      </c>
      <c r="H10" s="64"/>
      <c r="I10" s="64"/>
      <c r="AB10" s="66"/>
    </row>
    <row r="11" spans="1:28" ht="14.25">
      <c r="A11" s="15" t="s">
        <v>113</v>
      </c>
      <c r="B11" s="61">
        <v>324.56</v>
      </c>
      <c r="C11" s="61">
        <v>261.19</v>
      </c>
      <c r="D11" s="61">
        <v>153.16999999999999</v>
      </c>
      <c r="E11" s="53" t="s">
        <v>76</v>
      </c>
      <c r="F11" s="61">
        <v>262.2</v>
      </c>
      <c r="G11" s="61">
        <v>260.23</v>
      </c>
      <c r="H11" s="64"/>
      <c r="I11" s="64"/>
      <c r="AB11" s="66"/>
    </row>
    <row r="12" spans="1:28" ht="14.25">
      <c r="A12" s="15" t="s">
        <v>114</v>
      </c>
      <c r="B12" s="61">
        <v>316.88</v>
      </c>
      <c r="C12" s="61">
        <v>208.61</v>
      </c>
      <c r="D12" s="61">
        <v>145.1</v>
      </c>
      <c r="E12" s="53" t="s">
        <v>76</v>
      </c>
      <c r="F12" s="61">
        <v>267.94</v>
      </c>
      <c r="G12" s="61">
        <v>282.49</v>
      </c>
      <c r="H12" s="64"/>
      <c r="I12" s="64"/>
      <c r="AB12" s="66"/>
    </row>
    <row r="13" spans="1:28" ht="14.25">
      <c r="A13" s="15" t="s">
        <v>115</v>
      </c>
      <c r="B13" s="61">
        <v>345.02</v>
      </c>
      <c r="C13" s="61">
        <v>260.88</v>
      </c>
      <c r="D13" s="61">
        <v>173.53</v>
      </c>
      <c r="E13" s="53" t="s">
        <v>76</v>
      </c>
      <c r="F13" s="61">
        <v>291.14999999999998</v>
      </c>
      <c r="G13" s="61">
        <v>239.15</v>
      </c>
      <c r="H13" s="64"/>
      <c r="I13" s="64"/>
    </row>
    <row r="14" spans="1:28" ht="14.25">
      <c r="A14" s="15" t="s">
        <v>116</v>
      </c>
      <c r="B14" s="61">
        <v>308.27999999999997</v>
      </c>
      <c r="C14" s="61">
        <v>228.64</v>
      </c>
      <c r="D14" s="61">
        <v>164.16</v>
      </c>
      <c r="E14" s="53" t="s">
        <v>76</v>
      </c>
      <c r="F14" s="61">
        <v>272.38</v>
      </c>
      <c r="G14" s="61">
        <v>225.77</v>
      </c>
      <c r="H14" s="64"/>
      <c r="I14" s="64"/>
    </row>
    <row r="15" spans="1:28" ht="14.25">
      <c r="A15" s="15" t="s">
        <v>117</v>
      </c>
      <c r="B15" s="61">
        <v>299.5</v>
      </c>
      <c r="C15" s="61">
        <v>247.04</v>
      </c>
      <c r="D15" s="61">
        <v>187.7</v>
      </c>
      <c r="E15" s="53" t="s">
        <v>76</v>
      </c>
      <c r="F15" s="61">
        <v>273.99</v>
      </c>
      <c r="G15" s="61">
        <v>245.88</v>
      </c>
      <c r="H15" s="64"/>
      <c r="I15" s="64"/>
    </row>
    <row r="16" spans="1:28" ht="14.25">
      <c r="A16" s="15" t="s">
        <v>118</v>
      </c>
      <c r="B16" s="61">
        <v>392.31</v>
      </c>
      <c r="C16" s="61">
        <v>375.51</v>
      </c>
      <c r="D16" s="92">
        <v>246.22</v>
      </c>
      <c r="E16" s="53" t="s">
        <v>76</v>
      </c>
      <c r="F16" s="61">
        <v>351.87</v>
      </c>
      <c r="G16" s="61">
        <v>288.12</v>
      </c>
      <c r="H16" s="64"/>
      <c r="I16" s="64"/>
    </row>
    <row r="17" spans="1:13" ht="14.25">
      <c r="A17" s="15" t="s">
        <v>34</v>
      </c>
      <c r="B17" s="61">
        <v>439.81</v>
      </c>
      <c r="C17" s="61">
        <v>355.33</v>
      </c>
      <c r="D17" s="61">
        <v>279.98</v>
      </c>
      <c r="E17" s="53" t="s">
        <v>76</v>
      </c>
      <c r="F17" s="61">
        <v>439.1</v>
      </c>
      <c r="G17" s="61">
        <v>332.21</v>
      </c>
      <c r="H17" s="64"/>
      <c r="I17" s="64"/>
    </row>
    <row r="18" spans="1:13" ht="14.25">
      <c r="A18" s="15" t="s">
        <v>37</v>
      </c>
      <c r="B18" s="61">
        <v>451.91</v>
      </c>
      <c r="C18" s="61">
        <v>379.13</v>
      </c>
      <c r="D18" s="61">
        <v>244.34</v>
      </c>
      <c r="E18" s="53" t="s">
        <v>76</v>
      </c>
      <c r="F18" s="61">
        <v>431.34</v>
      </c>
      <c r="G18" s="92">
        <v>359.06</v>
      </c>
      <c r="H18" s="64"/>
      <c r="I18" s="64"/>
    </row>
    <row r="19" spans="1:13" ht="16.5">
      <c r="A19" s="15" t="s">
        <v>137</v>
      </c>
      <c r="B19" s="61">
        <v>380</v>
      </c>
      <c r="C19" s="61">
        <v>341</v>
      </c>
      <c r="D19" s="61">
        <v>200</v>
      </c>
      <c r="E19" s="53" t="s">
        <v>76</v>
      </c>
      <c r="F19" s="61">
        <v>360</v>
      </c>
      <c r="G19" s="92">
        <v>325</v>
      </c>
      <c r="H19" s="64"/>
      <c r="I19" s="64"/>
    </row>
    <row r="20" spans="1:13" ht="16.5">
      <c r="A20" s="15" t="s">
        <v>167</v>
      </c>
      <c r="B20" s="61">
        <v>330</v>
      </c>
      <c r="C20" s="61">
        <v>301</v>
      </c>
      <c r="D20" s="61">
        <v>180</v>
      </c>
      <c r="E20" s="53" t="s">
        <v>76</v>
      </c>
      <c r="F20" s="61">
        <v>290</v>
      </c>
      <c r="G20" s="92">
        <v>230</v>
      </c>
      <c r="H20" s="64"/>
      <c r="I20" s="64"/>
    </row>
    <row r="21" spans="1:13" ht="14.25">
      <c r="A21" s="15"/>
      <c r="B21" s="61"/>
      <c r="C21" s="61"/>
      <c r="D21" s="61"/>
      <c r="E21" s="53"/>
      <c r="F21" s="61"/>
      <c r="G21" s="61"/>
      <c r="I21" s="64"/>
      <c r="J21" s="68"/>
      <c r="K21" s="68"/>
      <c r="L21" s="68"/>
      <c r="M21" s="68"/>
    </row>
    <row r="22" spans="1:13" ht="15">
      <c r="A22" s="31" t="s">
        <v>37</v>
      </c>
      <c r="B22" s="92"/>
      <c r="C22" s="61"/>
      <c r="D22" s="61"/>
      <c r="E22" s="53"/>
      <c r="F22" s="61"/>
      <c r="G22" s="61"/>
      <c r="H22" s="49"/>
      <c r="I22" s="64"/>
    </row>
    <row r="23" spans="1:13" ht="14.25">
      <c r="A23" s="15" t="s">
        <v>39</v>
      </c>
      <c r="B23" s="92">
        <v>468.67499999999995</v>
      </c>
      <c r="C23" s="61">
        <v>451.875</v>
      </c>
      <c r="D23" s="61" t="s">
        <v>76</v>
      </c>
      <c r="E23" s="53" t="s">
        <v>76</v>
      </c>
      <c r="F23" s="61">
        <v>409.17499999999995</v>
      </c>
      <c r="G23" s="61" t="s">
        <v>76</v>
      </c>
      <c r="H23" s="49"/>
      <c r="I23" s="64"/>
    </row>
    <row r="24" spans="1:13" ht="14.25">
      <c r="A24" s="15" t="s">
        <v>40</v>
      </c>
      <c r="B24" s="92">
        <v>436.74999999999994</v>
      </c>
      <c r="C24" s="61">
        <v>405</v>
      </c>
      <c r="D24" s="61" t="s">
        <v>76</v>
      </c>
      <c r="E24" s="53" t="s">
        <v>76</v>
      </c>
      <c r="F24" s="61">
        <v>402.99999999999994</v>
      </c>
      <c r="G24" s="61">
        <v>357.5</v>
      </c>
      <c r="H24" s="49"/>
      <c r="I24" s="64"/>
    </row>
    <row r="25" spans="1:13" ht="14.25">
      <c r="A25" s="15" t="s">
        <v>42</v>
      </c>
      <c r="B25" s="92">
        <v>462.85</v>
      </c>
      <c r="C25" s="61">
        <v>390.625</v>
      </c>
      <c r="D25" s="61">
        <v>200</v>
      </c>
      <c r="E25" s="53" t="s">
        <v>76</v>
      </c>
      <c r="F25" s="61">
        <v>437.09999999999997</v>
      </c>
      <c r="G25" s="61">
        <v>368.5</v>
      </c>
      <c r="H25" s="49"/>
      <c r="I25" s="64"/>
    </row>
    <row r="26" spans="1:13" ht="14.25">
      <c r="A26" s="15" t="s">
        <v>43</v>
      </c>
      <c r="B26" s="92">
        <v>482.40000000000003</v>
      </c>
      <c r="C26" s="61">
        <v>386.25</v>
      </c>
      <c r="D26" s="61">
        <v>355</v>
      </c>
      <c r="E26" s="53" t="s">
        <v>76</v>
      </c>
      <c r="F26" s="61">
        <v>474.02500000000003</v>
      </c>
      <c r="G26" s="61">
        <v>397.5</v>
      </c>
      <c r="H26" s="49"/>
      <c r="I26" s="64"/>
    </row>
    <row r="27" spans="1:13" ht="14.25">
      <c r="A27" s="15" t="s">
        <v>44</v>
      </c>
      <c r="B27" s="92">
        <v>500.52499999999998</v>
      </c>
      <c r="C27" s="61">
        <v>392.5</v>
      </c>
      <c r="D27" s="61">
        <v>336.25</v>
      </c>
      <c r="E27" s="53" t="s">
        <v>76</v>
      </c>
      <c r="F27" s="61">
        <v>501.02499999999998</v>
      </c>
      <c r="G27" s="61">
        <v>412.5</v>
      </c>
      <c r="H27" s="49"/>
      <c r="I27" s="64"/>
    </row>
    <row r="28" spans="1:13" ht="14.25">
      <c r="A28" s="15" t="s">
        <v>46</v>
      </c>
      <c r="B28" s="92">
        <v>484.4</v>
      </c>
      <c r="C28" s="61">
        <v>386.25</v>
      </c>
      <c r="D28" s="61">
        <v>308</v>
      </c>
      <c r="E28" s="53" t="s">
        <v>76</v>
      </c>
      <c r="F28" s="61">
        <v>466.6</v>
      </c>
      <c r="G28" s="61">
        <v>380.4</v>
      </c>
      <c r="H28" s="49"/>
      <c r="I28" s="64"/>
    </row>
    <row r="29" spans="1:13" ht="14.25">
      <c r="A29" s="15" t="s">
        <v>47</v>
      </c>
      <c r="B29" s="92">
        <v>457.25</v>
      </c>
      <c r="C29" s="61">
        <v>364.375</v>
      </c>
      <c r="D29" s="61">
        <v>252.5</v>
      </c>
      <c r="E29" s="53" t="s">
        <v>76</v>
      </c>
      <c r="F29" s="61">
        <v>434.75</v>
      </c>
      <c r="G29" s="61">
        <v>352.5</v>
      </c>
      <c r="H29" s="49"/>
      <c r="I29" s="64"/>
    </row>
    <row r="30" spans="1:13" ht="14.25">
      <c r="A30" s="15" t="s">
        <v>48</v>
      </c>
      <c r="B30" s="92">
        <v>423.57499999999999</v>
      </c>
      <c r="C30" s="61">
        <v>370.625</v>
      </c>
      <c r="D30" s="61">
        <v>237.5</v>
      </c>
      <c r="E30" s="53" t="s">
        <v>76</v>
      </c>
      <c r="F30" s="61">
        <v>407.02500000000003</v>
      </c>
      <c r="G30" s="61">
        <v>352.5</v>
      </c>
      <c r="H30" s="49"/>
      <c r="I30" s="64"/>
    </row>
    <row r="31" spans="1:13" ht="14.25">
      <c r="A31" s="15" t="s">
        <v>50</v>
      </c>
      <c r="B31" s="92">
        <v>413.46000000000004</v>
      </c>
      <c r="C31" s="61">
        <v>362.5</v>
      </c>
      <c r="D31" s="61">
        <v>208.00200000000001</v>
      </c>
      <c r="E31" s="53" t="s">
        <v>76</v>
      </c>
      <c r="F31" s="61">
        <v>405.06000000000006</v>
      </c>
      <c r="G31" s="61">
        <v>354</v>
      </c>
      <c r="H31" s="49"/>
      <c r="I31" s="64"/>
    </row>
    <row r="32" spans="1:13" ht="14.25">
      <c r="A32" s="15" t="s">
        <v>51</v>
      </c>
      <c r="B32" s="92">
        <v>443.15</v>
      </c>
      <c r="C32" s="61">
        <v>347.5</v>
      </c>
      <c r="D32" s="61">
        <v>159.16749999999999</v>
      </c>
      <c r="E32" s="53" t="s">
        <v>76</v>
      </c>
      <c r="F32" s="61">
        <v>432.1</v>
      </c>
      <c r="G32" s="61">
        <v>335</v>
      </c>
      <c r="H32" s="49"/>
      <c r="I32" s="64"/>
    </row>
    <row r="33" spans="1:10" ht="14.25">
      <c r="A33" s="15" t="s">
        <v>52</v>
      </c>
      <c r="B33" s="92">
        <v>438.8</v>
      </c>
      <c r="C33" s="61">
        <v>348.33</v>
      </c>
      <c r="D33" s="61">
        <v>185</v>
      </c>
      <c r="E33" s="53" t="s">
        <v>76</v>
      </c>
      <c r="F33" s="61">
        <v>412.9</v>
      </c>
      <c r="G33" s="61">
        <v>321.25</v>
      </c>
      <c r="H33" s="49"/>
      <c r="I33" s="64"/>
    </row>
    <row r="34" spans="1:10" ht="14.25">
      <c r="A34" s="15" t="s">
        <v>38</v>
      </c>
      <c r="B34" s="92">
        <v>411.07</v>
      </c>
      <c r="C34" s="61">
        <v>343.75</v>
      </c>
      <c r="D34" s="61">
        <v>202</v>
      </c>
      <c r="E34" s="53" t="s">
        <v>76</v>
      </c>
      <c r="F34" s="61">
        <v>393.26</v>
      </c>
      <c r="G34" s="61">
        <v>318</v>
      </c>
      <c r="H34" s="49"/>
      <c r="I34" s="64"/>
    </row>
    <row r="35" spans="1:10" ht="14.25">
      <c r="A35" s="15"/>
      <c r="B35" s="92"/>
      <c r="C35" s="61"/>
      <c r="D35" s="61"/>
      <c r="E35" s="53"/>
      <c r="F35" s="61"/>
      <c r="G35" s="61"/>
      <c r="H35" s="49"/>
      <c r="I35" s="64"/>
    </row>
    <row r="36" spans="1:10" ht="15">
      <c r="A36" s="31" t="s">
        <v>54</v>
      </c>
      <c r="B36" s="92"/>
      <c r="C36" s="61"/>
      <c r="D36" s="61"/>
      <c r="E36" s="53"/>
      <c r="F36" s="61"/>
      <c r="G36" s="61"/>
      <c r="H36" s="49"/>
      <c r="I36" s="64"/>
    </row>
    <row r="37" spans="1:10" ht="14.25">
      <c r="A37" s="15" t="s">
        <v>39</v>
      </c>
      <c r="B37" s="92">
        <v>416.16</v>
      </c>
      <c r="C37" s="61">
        <v>348.75</v>
      </c>
      <c r="D37" s="61">
        <v>229.16500000000002</v>
      </c>
      <c r="E37" s="53" t="s">
        <v>76</v>
      </c>
      <c r="F37" s="61">
        <v>407.1</v>
      </c>
      <c r="G37" s="61">
        <v>325</v>
      </c>
      <c r="H37" s="49"/>
      <c r="I37" s="64"/>
    </row>
    <row r="38" spans="1:10" ht="14.25">
      <c r="A38" s="15" t="s">
        <v>40</v>
      </c>
      <c r="B38" s="92">
        <v>464.27</v>
      </c>
      <c r="C38" s="61">
        <v>350</v>
      </c>
      <c r="D38" s="61">
        <v>266.67</v>
      </c>
      <c r="E38" s="53" t="s">
        <v>76</v>
      </c>
      <c r="F38" s="61">
        <v>441.77</v>
      </c>
      <c r="G38" s="92">
        <v>348.33</v>
      </c>
      <c r="H38" s="49"/>
      <c r="I38" s="64"/>
    </row>
    <row r="39" spans="1:10" ht="14.25">
      <c r="A39" s="15" t="s">
        <v>42</v>
      </c>
      <c r="B39" s="92">
        <v>440.6</v>
      </c>
      <c r="C39" s="61">
        <v>358.75</v>
      </c>
      <c r="D39" s="61">
        <v>270</v>
      </c>
      <c r="E39" s="53" t="s">
        <v>76</v>
      </c>
      <c r="F39" s="61">
        <v>395.04999999999995</v>
      </c>
      <c r="G39" s="92">
        <v>365</v>
      </c>
      <c r="H39" s="49"/>
      <c r="I39" s="64"/>
    </row>
    <row r="40" spans="1:10" ht="14.25">
      <c r="A40" s="15" t="s">
        <v>43</v>
      </c>
      <c r="B40" s="92">
        <v>378.4</v>
      </c>
      <c r="C40" s="61">
        <v>352.5</v>
      </c>
      <c r="D40" s="61">
        <v>270</v>
      </c>
      <c r="E40" s="53" t="s">
        <v>76</v>
      </c>
      <c r="F40" s="61">
        <v>349.3</v>
      </c>
      <c r="G40" s="92">
        <v>365</v>
      </c>
      <c r="H40" s="49"/>
      <c r="I40" s="64"/>
    </row>
    <row r="41" spans="1:10" ht="14.25">
      <c r="A41" s="15" t="s">
        <v>44</v>
      </c>
      <c r="B41" s="92">
        <v>363.625</v>
      </c>
      <c r="C41" s="61">
        <v>355</v>
      </c>
      <c r="D41" s="61">
        <v>210</v>
      </c>
      <c r="E41" s="53" t="s">
        <v>76</v>
      </c>
      <c r="F41" s="61">
        <v>357.75</v>
      </c>
      <c r="G41" s="92" t="s">
        <v>76</v>
      </c>
      <c r="H41" s="49"/>
      <c r="I41" s="64"/>
    </row>
    <row r="42" spans="1:10" ht="14.25">
      <c r="A42" s="15" t="s">
        <v>46</v>
      </c>
      <c r="B42" s="92">
        <v>361.75</v>
      </c>
      <c r="C42" s="61">
        <v>343.33</v>
      </c>
      <c r="D42" s="61">
        <v>140</v>
      </c>
      <c r="E42" s="53" t="s">
        <v>76</v>
      </c>
      <c r="F42" s="61">
        <v>348.76</v>
      </c>
      <c r="G42" s="92">
        <v>331</v>
      </c>
      <c r="H42" s="49"/>
      <c r="I42" s="64"/>
    </row>
    <row r="43" spans="1:10" ht="14.25">
      <c r="A43" s="15" t="s">
        <v>47</v>
      </c>
      <c r="B43" s="92">
        <v>357.67500000000001</v>
      </c>
      <c r="C43" s="61">
        <v>333.75</v>
      </c>
      <c r="D43" s="61">
        <v>142.5</v>
      </c>
      <c r="E43" s="53" t="s">
        <v>76</v>
      </c>
      <c r="F43" s="61">
        <v>357.17500000000001</v>
      </c>
      <c r="G43" s="92">
        <v>292.5</v>
      </c>
      <c r="H43" s="49"/>
      <c r="I43" s="64"/>
    </row>
    <row r="44" spans="1:10" ht="16.5">
      <c r="A44" s="82" t="s">
        <v>150</v>
      </c>
      <c r="B44" s="126"/>
      <c r="C44" s="126"/>
      <c r="D44" s="126"/>
      <c r="E44" s="126"/>
      <c r="F44" s="126"/>
      <c r="G44" s="126"/>
      <c r="I44" s="67"/>
    </row>
    <row r="45" spans="1:10" ht="16.5">
      <c r="A45" s="42" t="s">
        <v>151</v>
      </c>
      <c r="B45" s="69"/>
      <c r="C45" s="69"/>
      <c r="D45" s="69"/>
      <c r="E45" s="69"/>
      <c r="F45" s="69"/>
      <c r="G45" s="69"/>
      <c r="I45" s="67"/>
      <c r="J45" s="67"/>
    </row>
    <row r="46" spans="1:10" ht="14.25">
      <c r="A46" s="15" t="s">
        <v>152</v>
      </c>
      <c r="B46" s="15"/>
      <c r="C46" s="15"/>
      <c r="D46" s="15"/>
      <c r="E46" s="15"/>
      <c r="F46" s="69"/>
      <c r="G46" s="69"/>
      <c r="I46" s="67"/>
      <c r="J46" s="67"/>
    </row>
    <row r="47" spans="1:10" ht="14.25">
      <c r="A47" s="20" t="s">
        <v>57</v>
      </c>
      <c r="B47" s="37">
        <f>Contents!A16</f>
        <v>45426</v>
      </c>
      <c r="C47" s="15"/>
      <c r="D47" s="15"/>
      <c r="E47" s="15"/>
      <c r="F47" s="69"/>
      <c r="G47" s="69"/>
      <c r="I47" s="70"/>
      <c r="J47" s="70"/>
    </row>
    <row r="48" spans="1:10" ht="14.25">
      <c r="F48" s="69"/>
      <c r="G48" s="69"/>
      <c r="I48" s="70"/>
      <c r="J48" s="70"/>
    </row>
    <row r="49" spans="2:10" ht="14.25">
      <c r="B49" s="64"/>
      <c r="F49" s="69"/>
      <c r="G49" s="69"/>
      <c r="I49" s="67"/>
      <c r="J49" s="67"/>
    </row>
    <row r="50" spans="2:10">
      <c r="B50" s="96"/>
      <c r="I50" s="67"/>
      <c r="J50" s="67"/>
    </row>
    <row r="51" spans="2:10">
      <c r="I51" s="67"/>
      <c r="J51" s="67"/>
    </row>
    <row r="52" spans="2:10">
      <c r="I52" s="67"/>
      <c r="J52" s="67"/>
    </row>
    <row r="53" spans="2:10">
      <c r="I53" s="67"/>
      <c r="J53" s="67"/>
    </row>
    <row r="54" spans="2:10">
      <c r="I54" s="67"/>
      <c r="J54" s="67"/>
    </row>
    <row r="56" spans="2:10">
      <c r="I56" s="71"/>
      <c r="J56" s="71"/>
    </row>
    <row r="57" spans="2:10">
      <c r="I57" s="71"/>
      <c r="J57" s="71"/>
    </row>
  </sheetData>
  <phoneticPr fontId="4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DCDF-CE14-451D-B4B7-C1496B6C7095}">
  <dimension ref="A1:I82"/>
  <sheetViews>
    <sheetView zoomScale="90" zoomScaleNormal="90" workbookViewId="0"/>
  </sheetViews>
  <sheetFormatPr defaultColWidth="9.140625" defaultRowHeight="12.75"/>
  <cols>
    <col min="1" max="1" width="13.42578125" style="171" bestFit="1" customWidth="1"/>
    <col min="2" max="2" width="11.140625" style="173" customWidth="1"/>
    <col min="3" max="3" width="7.42578125" style="173" bestFit="1" customWidth="1"/>
    <col min="4" max="4" width="10.140625" style="173" bestFit="1" customWidth="1"/>
    <col min="5" max="5" width="9" style="173" bestFit="1" customWidth="1"/>
    <col min="6" max="6" width="14.7109375" style="173" customWidth="1"/>
    <col min="7" max="7" width="7.28515625" style="173" customWidth="1"/>
    <col min="8" max="8" width="11.42578125" style="173" bestFit="1" customWidth="1"/>
    <col min="9" max="16384" width="9.140625" style="173"/>
  </cols>
  <sheetData>
    <row r="1" spans="1:9">
      <c r="B1" s="172" t="s">
        <v>26</v>
      </c>
      <c r="C1" s="172"/>
      <c r="D1" s="172"/>
      <c r="E1" s="172"/>
      <c r="F1" s="172"/>
      <c r="G1" s="172"/>
    </row>
    <row r="2" spans="1:9" ht="38.25">
      <c r="A2" s="174" t="s">
        <v>213</v>
      </c>
      <c r="B2" s="174" t="s">
        <v>123</v>
      </c>
      <c r="C2" s="174" t="s">
        <v>160</v>
      </c>
      <c r="D2" s="174" t="s">
        <v>161</v>
      </c>
      <c r="E2" s="174" t="s">
        <v>162</v>
      </c>
      <c r="F2" s="174" t="s">
        <v>163</v>
      </c>
      <c r="G2" s="174" t="s">
        <v>214</v>
      </c>
      <c r="H2" s="174" t="s">
        <v>215</v>
      </c>
    </row>
    <row r="3" spans="1:9">
      <c r="A3" s="175" t="s">
        <v>113</v>
      </c>
      <c r="B3" s="176">
        <v>36.380000000000003</v>
      </c>
      <c r="C3" s="176">
        <v>41.261000000000003</v>
      </c>
      <c r="D3" s="176">
        <v>69.403000000000006</v>
      </c>
      <c r="E3" s="176">
        <v>316.137</v>
      </c>
      <c r="F3" s="176">
        <v>40.698999999999998</v>
      </c>
      <c r="G3" s="176">
        <v>21.01</v>
      </c>
      <c r="H3" s="176">
        <v>445.642</v>
      </c>
    </row>
    <row r="4" spans="1:9">
      <c r="A4" s="175" t="s">
        <v>114</v>
      </c>
      <c r="B4" s="176">
        <v>39.154000000000003</v>
      </c>
      <c r="C4" s="176">
        <v>45.878</v>
      </c>
      <c r="D4" s="176">
        <v>70.165000000000006</v>
      </c>
      <c r="E4" s="176">
        <v>350.87799999999999</v>
      </c>
      <c r="F4" s="176">
        <v>48.347000000000001</v>
      </c>
      <c r="G4" s="176">
        <v>22.85</v>
      </c>
      <c r="H4" s="176">
        <v>468.56599999999997</v>
      </c>
      <c r="I4" s="177"/>
    </row>
    <row r="5" spans="1:9">
      <c r="A5" s="175" t="s">
        <v>115</v>
      </c>
      <c r="B5" s="176">
        <v>44.7</v>
      </c>
      <c r="C5" s="176">
        <v>46.927</v>
      </c>
      <c r="D5" s="176">
        <v>75.796999999999997</v>
      </c>
      <c r="E5" s="176">
        <v>343.822</v>
      </c>
      <c r="F5" s="176">
        <v>47.918999999999997</v>
      </c>
      <c r="G5" s="176">
        <v>24.657</v>
      </c>
      <c r="H5" s="176">
        <v>484.30399999999997</v>
      </c>
      <c r="I5" s="177"/>
    </row>
    <row r="6" spans="1:9">
      <c r="A6" s="175" t="s">
        <v>116</v>
      </c>
      <c r="B6" s="176">
        <v>41.957000000000001</v>
      </c>
      <c r="C6" s="176">
        <v>46.676000000000002</v>
      </c>
      <c r="D6" s="176">
        <v>73.486000000000004</v>
      </c>
      <c r="E6" s="176">
        <v>363.51400000000001</v>
      </c>
      <c r="F6" s="176">
        <v>50.326000000000001</v>
      </c>
      <c r="G6" s="176">
        <v>25.556999999999999</v>
      </c>
      <c r="H6" s="176">
        <v>489.48200000000003</v>
      </c>
      <c r="I6" s="177"/>
    </row>
    <row r="7" spans="1:9">
      <c r="A7" s="175" t="s">
        <v>117</v>
      </c>
      <c r="B7" s="176">
        <v>43.441000000000003</v>
      </c>
      <c r="C7" s="176">
        <v>47.746000000000002</v>
      </c>
      <c r="D7" s="176">
        <v>70.325000000000003</v>
      </c>
      <c r="E7" s="176">
        <v>341.43200000000002</v>
      </c>
      <c r="F7" s="176">
        <v>53.908999999999999</v>
      </c>
      <c r="G7" s="176">
        <v>25.280999999999999</v>
      </c>
      <c r="H7" s="176">
        <v>508.48</v>
      </c>
      <c r="I7" s="177"/>
    </row>
    <row r="8" spans="1:9">
      <c r="A8" s="175" t="s">
        <v>118</v>
      </c>
      <c r="B8" s="176">
        <v>41.932000000000002</v>
      </c>
      <c r="C8" s="176">
        <v>50.487000000000002</v>
      </c>
      <c r="D8" s="176">
        <v>74.754000000000005</v>
      </c>
      <c r="E8" s="176">
        <v>369.22399999999999</v>
      </c>
      <c r="F8" s="176">
        <v>48.874000000000002</v>
      </c>
      <c r="G8" s="176">
        <v>24.859000000000002</v>
      </c>
      <c r="H8" s="176">
        <v>512.31799999999998</v>
      </c>
      <c r="I8" s="177"/>
    </row>
    <row r="9" spans="1:9">
      <c r="A9" s="175" t="s">
        <v>34</v>
      </c>
      <c r="B9" s="176">
        <v>41.27</v>
      </c>
      <c r="C9" s="176">
        <v>51.966000000000001</v>
      </c>
      <c r="D9" s="176">
        <v>75.831000000000003</v>
      </c>
      <c r="E9" s="176">
        <v>360.44900000000001</v>
      </c>
      <c r="F9" s="176">
        <v>56.857999999999997</v>
      </c>
      <c r="G9" s="176">
        <v>25.169</v>
      </c>
      <c r="H9" s="176">
        <v>512.22199999999998</v>
      </c>
      <c r="I9" s="177"/>
    </row>
    <row r="10" spans="1:9">
      <c r="A10" s="175" t="s">
        <v>37</v>
      </c>
      <c r="B10" s="176">
        <v>42.298000000000002</v>
      </c>
      <c r="C10" s="176">
        <v>49.506</v>
      </c>
      <c r="D10" s="176">
        <v>88.852000000000004</v>
      </c>
      <c r="E10" s="176">
        <v>378.20400000000001</v>
      </c>
      <c r="F10" s="176">
        <v>52.783000000000001</v>
      </c>
      <c r="G10" s="176">
        <v>26.074999999999999</v>
      </c>
      <c r="H10" s="176">
        <v>525.46500000000003</v>
      </c>
      <c r="I10" s="177"/>
    </row>
    <row r="11" spans="1:9">
      <c r="A11" s="175" t="s">
        <v>154</v>
      </c>
      <c r="B11" s="176">
        <v>41.491</v>
      </c>
      <c r="C11" s="176">
        <v>49.561</v>
      </c>
      <c r="D11" s="176">
        <v>88.393000000000001</v>
      </c>
      <c r="E11" s="176">
        <v>396.94600000000003</v>
      </c>
      <c r="F11" s="176">
        <v>54.829000000000001</v>
      </c>
      <c r="G11" s="176">
        <v>26.92</v>
      </c>
      <c r="H11" s="176">
        <v>543.56200000000001</v>
      </c>
    </row>
    <row r="12" spans="1:9">
      <c r="A12" s="175" t="s">
        <v>156</v>
      </c>
      <c r="B12" s="176">
        <v>43.167000000000002</v>
      </c>
      <c r="C12" s="176">
        <v>51.317999999999998</v>
      </c>
      <c r="D12" s="176">
        <v>88.34</v>
      </c>
      <c r="E12" s="176">
        <v>422.262</v>
      </c>
      <c r="F12" s="176">
        <v>55.427999999999997</v>
      </c>
      <c r="G12" s="176">
        <v>26.544</v>
      </c>
      <c r="H12" s="176">
        <v>560.83900000000006</v>
      </c>
      <c r="I12" s="195"/>
    </row>
    <row r="13" spans="1:9">
      <c r="D13" s="178"/>
      <c r="E13" s="178"/>
      <c r="F13" s="178"/>
      <c r="G13" s="179"/>
    </row>
    <row r="14" spans="1:9">
      <c r="D14" s="178"/>
      <c r="E14" s="178"/>
      <c r="F14" s="178"/>
      <c r="G14" s="179"/>
    </row>
    <row r="15" spans="1:9">
      <c r="A15" s="175"/>
      <c r="B15" s="180"/>
      <c r="C15" s="180"/>
      <c r="D15" s="179"/>
      <c r="E15" s="179"/>
      <c r="F15" s="179"/>
      <c r="G15" s="179"/>
      <c r="H15" s="180"/>
    </row>
    <row r="16" spans="1:9">
      <c r="A16" s="175"/>
      <c r="B16" s="180"/>
      <c r="C16" s="180"/>
      <c r="D16" s="179"/>
      <c r="E16" s="179"/>
      <c r="F16" s="179"/>
      <c r="G16" s="179"/>
      <c r="H16" s="180"/>
    </row>
    <row r="17" spans="1:8">
      <c r="A17" s="175"/>
      <c r="B17" s="180"/>
      <c r="C17" s="180"/>
      <c r="D17" s="179"/>
      <c r="E17" s="179"/>
      <c r="F17" s="179"/>
      <c r="G17" s="179"/>
      <c r="H17" s="180"/>
    </row>
    <row r="18" spans="1:8">
      <c r="A18" s="175"/>
      <c r="B18" s="180"/>
      <c r="C18" s="180"/>
      <c r="D18" s="179"/>
      <c r="E18" s="179"/>
      <c r="F18" s="179"/>
      <c r="G18" s="179"/>
      <c r="H18" s="180"/>
    </row>
    <row r="19" spans="1:8">
      <c r="A19" s="175"/>
      <c r="B19" s="180"/>
      <c r="C19" s="180"/>
      <c r="D19" s="179"/>
      <c r="E19" s="179"/>
      <c r="F19" s="179"/>
      <c r="G19" s="179"/>
      <c r="H19" s="180"/>
    </row>
    <row r="20" spans="1:8">
      <c r="E20" s="181"/>
    </row>
    <row r="21" spans="1:8">
      <c r="E21" s="181"/>
    </row>
    <row r="22" spans="1:8">
      <c r="E22" s="181"/>
    </row>
    <row r="23" spans="1:8">
      <c r="E23" s="181"/>
    </row>
    <row r="24" spans="1:8">
      <c r="E24" s="181"/>
    </row>
    <row r="25" spans="1:8">
      <c r="E25" s="181"/>
    </row>
    <row r="26" spans="1:8">
      <c r="E26" s="181"/>
    </row>
    <row r="27" spans="1:8">
      <c r="E27" s="181"/>
    </row>
    <row r="28" spans="1:8">
      <c r="E28" s="181"/>
    </row>
    <row r="29" spans="1:8">
      <c r="E29" s="181"/>
    </row>
    <row r="30" spans="1:8">
      <c r="E30" s="181"/>
    </row>
    <row r="31" spans="1:8">
      <c r="E31" s="181"/>
    </row>
    <row r="32" spans="1:8">
      <c r="E32" s="181"/>
    </row>
    <row r="33" spans="5:5">
      <c r="E33" s="181"/>
    </row>
    <row r="34" spans="5:5">
      <c r="E34" s="181"/>
    </row>
    <row r="35" spans="5:5">
      <c r="E35" s="181"/>
    </row>
    <row r="36" spans="5:5">
      <c r="E36" s="181"/>
    </row>
    <row r="37" spans="5:5">
      <c r="E37" s="181"/>
    </row>
    <row r="38" spans="5:5">
      <c r="E38" s="181"/>
    </row>
    <row r="39" spans="5:5">
      <c r="E39" s="181"/>
    </row>
    <row r="40" spans="5:5">
      <c r="E40" s="181"/>
    </row>
    <row r="41" spans="5:5">
      <c r="E41" s="181"/>
    </row>
    <row r="42" spans="5:5">
      <c r="E42" s="181"/>
    </row>
    <row r="43" spans="5:5">
      <c r="E43" s="181"/>
    </row>
    <row r="44" spans="5:5">
      <c r="E44" s="181"/>
    </row>
    <row r="45" spans="5:5">
      <c r="E45" s="181"/>
    </row>
    <row r="46" spans="5:5">
      <c r="E46" s="181"/>
    </row>
    <row r="47" spans="5:5">
      <c r="E47" s="181"/>
    </row>
    <row r="48" spans="5:5">
      <c r="E48" s="181"/>
    </row>
    <row r="49" spans="5:5">
      <c r="E49" s="181"/>
    </row>
    <row r="50" spans="5:5">
      <c r="E50" s="181"/>
    </row>
    <row r="51" spans="5:5">
      <c r="E51" s="181"/>
    </row>
    <row r="52" spans="5:5">
      <c r="E52" s="181"/>
    </row>
    <row r="53" spans="5:5">
      <c r="E53" s="181"/>
    </row>
    <row r="54" spans="5:5">
      <c r="E54" s="181"/>
    </row>
    <row r="55" spans="5:5">
      <c r="E55" s="181"/>
    </row>
    <row r="56" spans="5:5">
      <c r="E56" s="181"/>
    </row>
    <row r="57" spans="5:5">
      <c r="E57" s="181"/>
    </row>
    <row r="58" spans="5:5">
      <c r="E58" s="181"/>
    </row>
    <row r="59" spans="5:5">
      <c r="E59" s="181"/>
    </row>
    <row r="60" spans="5:5">
      <c r="E60" s="181"/>
    </row>
    <row r="61" spans="5:5">
      <c r="E61" s="181"/>
    </row>
    <row r="62" spans="5:5">
      <c r="E62" s="181"/>
    </row>
    <row r="63" spans="5:5">
      <c r="E63" s="181"/>
    </row>
    <row r="64" spans="5:5">
      <c r="E64" s="181"/>
    </row>
    <row r="65" spans="5:5">
      <c r="E65" s="181"/>
    </row>
    <row r="66" spans="5:5">
      <c r="E66" s="181"/>
    </row>
    <row r="67" spans="5:5">
      <c r="E67" s="181"/>
    </row>
    <row r="68" spans="5:5">
      <c r="E68" s="181"/>
    </row>
    <row r="69" spans="5:5">
      <c r="E69" s="181"/>
    </row>
    <row r="70" spans="5:5">
      <c r="E70" s="181"/>
    </row>
    <row r="71" spans="5:5">
      <c r="E71" s="181"/>
    </row>
    <row r="72" spans="5:5">
      <c r="E72" s="181"/>
    </row>
    <row r="73" spans="5:5">
      <c r="E73" s="181"/>
    </row>
    <row r="74" spans="5:5">
      <c r="E74" s="181"/>
    </row>
    <row r="75" spans="5:5">
      <c r="E75" s="181"/>
    </row>
    <row r="76" spans="5:5">
      <c r="E76" s="181"/>
    </row>
    <row r="77" spans="5:5">
      <c r="E77" s="181"/>
    </row>
    <row r="78" spans="5:5">
      <c r="E78" s="181"/>
    </row>
    <row r="79" spans="5:5">
      <c r="E79" s="181"/>
    </row>
    <row r="80" spans="5:5">
      <c r="E80" s="181"/>
    </row>
    <row r="81" spans="5:5">
      <c r="E81" s="181"/>
    </row>
    <row r="82" spans="5:5">
      <c r="E82" s="181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purl.org/dc/dcmitype/"/>
    <ds:schemaRef ds:uri="http://purl.org/dc/terms/"/>
    <ds:schemaRef ds:uri="http://schemas.microsoft.com/office/2006/metadata/properties"/>
    <ds:schemaRef ds:uri="c49de858-f9fd-4eb6-bcba-50396646711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818c5c2-d41f-4dce-801c-4e3595afcb3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SA-1</vt:lpstr>
      <vt:lpstr>Figure SA-2</vt:lpstr>
      <vt:lpstr>Figure SA-3</vt:lpstr>
      <vt:lpstr>Figure SA-4</vt:lpstr>
      <vt:lpstr>Figure SA-5</vt:lpstr>
      <vt:lpstr>Figure SA-6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Swearingen, Bryn - REE-ERS</cp:lastModifiedBy>
  <cp:revision/>
  <dcterms:created xsi:type="dcterms:W3CDTF">2001-11-13T16:22:15Z</dcterms:created>
  <dcterms:modified xsi:type="dcterms:W3CDTF">2024-05-14T18:50:59Z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