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omments1.xml" ContentType="application/vnd.openxmlformats-officedocument.spreadsheetml.comments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4/OCS-24G July 2024/"/>
    </mc:Choice>
  </mc:AlternateContent>
  <xr:revisionPtr revIDLastSave="4830" documentId="14_{B963255E-7C51-46F7-A78A-734AFE6B0FDE}" xr6:coauthVersionLast="47" xr6:coauthVersionMax="47" xr10:uidLastSave="{93B2D0F6-2B55-4272-AC2B-6C69696EBE77}"/>
  <bookViews>
    <workbookView xWindow="-108" yWindow="-108" windowWidth="23256" windowHeight="1245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84" r:id="rId9"/>
    <sheet name="Figure 2" sheetId="183" r:id="rId10"/>
    <sheet name="Figure 3" sheetId="185" r:id="rId11"/>
    <sheet name="Figure 4" sheetId="186" r:id="rId12"/>
    <sheet name="Figure 1sa" sheetId="196" r:id="rId13"/>
    <sheet name="Figure 2sa" sheetId="188" r:id="rId14"/>
    <sheet name="Table 1sa" sheetId="189" r:id="rId15"/>
    <sheet name="Figure 3sa" sheetId="190" r:id="rId16"/>
    <sheet name="Figure 4sa" sheetId="191" r:id="rId17"/>
    <sheet name="Figure5sa" sheetId="192" r:id="rId18"/>
    <sheet name="Figure 6sa" sheetId="193" r:id="rId19"/>
    <sheet name="Figure 7sa" sheetId="194" r:id="rId20"/>
    <sheet name="Figure 8sa" sheetId="195" r:id="rId21"/>
  </sheets>
  <definedNames>
    <definedName name="_xlnm.Print_Area" localSheetId="1">'Table 1'!$A$1:$N$43</definedName>
    <definedName name="_xlnm.Print_Area" localSheetId="7">'Table 10'!$A$1:$G$47</definedName>
    <definedName name="_xlnm.Print_Area" localSheetId="2">'Table 2'!$A$1:$J$35</definedName>
    <definedName name="_xlnm.Print_Area" localSheetId="3">'Table 3'!$A$1:$L$48</definedName>
    <definedName name="_xlnm.Print_Area" localSheetId="5">'Table 8'!$A$1:$G$46</definedName>
    <definedName name="_xlnm.Print_Area" localSheetId="6">'Table 9'!$A$1:$I$48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E23" i="9"/>
  <c r="E6" i="9" s="1"/>
  <c r="E10" i="191" l="1"/>
  <c r="H20" i="2" l="1"/>
  <c r="H11" i="2"/>
  <c r="H23" i="2"/>
  <c r="G41" i="1"/>
  <c r="L41" i="1"/>
  <c r="F2" i="193"/>
  <c r="F3" i="193"/>
  <c r="F4" i="193"/>
  <c r="F5" i="193"/>
  <c r="F6" i="193"/>
  <c r="F7" i="193"/>
  <c r="F8" i="193"/>
  <c r="F9" i="193"/>
  <c r="E3" i="191"/>
  <c r="F3" i="192"/>
  <c r="H7" i="191"/>
  <c r="I7" i="191" s="1"/>
  <c r="C10" i="188"/>
  <c r="F10" i="192"/>
  <c r="F9" i="192"/>
  <c r="F8" i="192"/>
  <c r="F7" i="192"/>
  <c r="F6" i="192"/>
  <c r="F5" i="192"/>
  <c r="F4" i="192"/>
  <c r="H9" i="191"/>
  <c r="J9" i="191" s="1"/>
  <c r="E9" i="191"/>
  <c r="E8" i="191"/>
  <c r="E7" i="191"/>
  <c r="E6" i="191"/>
  <c r="H5" i="191"/>
  <c r="J5" i="191" s="1"/>
  <c r="E5" i="191"/>
  <c r="E4" i="191"/>
  <c r="H3" i="191"/>
  <c r="G13" i="188"/>
  <c r="F13" i="188"/>
  <c r="E13" i="188"/>
  <c r="D13" i="188"/>
  <c r="C13" i="188"/>
  <c r="G12" i="188"/>
  <c r="F12" i="188"/>
  <c r="E12" i="188"/>
  <c r="D12" i="188"/>
  <c r="C12" i="188"/>
  <c r="G11" i="188"/>
  <c r="F11" i="188"/>
  <c r="E11" i="188"/>
  <c r="D11" i="188"/>
  <c r="C11" i="188"/>
  <c r="G10" i="188"/>
  <c r="F10" i="188"/>
  <c r="E10" i="188"/>
  <c r="D10" i="188"/>
  <c r="J3" i="191" l="1"/>
  <c r="I3" i="191"/>
  <c r="J7" i="191"/>
  <c r="C69" i="194"/>
  <c r="H67" i="194"/>
  <c r="D69" i="194"/>
  <c r="E69" i="194"/>
  <c r="E67" i="194"/>
  <c r="F69" i="194"/>
  <c r="F73" i="194" s="1"/>
  <c r="D68" i="194"/>
  <c r="B69" i="194"/>
  <c r="B73" i="194" s="1"/>
  <c r="B68" i="194"/>
  <c r="C68" i="194"/>
  <c r="E68" i="194"/>
  <c r="F68" i="194"/>
  <c r="G69" i="194"/>
  <c r="F67" i="194"/>
  <c r="B67" i="194"/>
  <c r="H68" i="194"/>
  <c r="C67" i="194"/>
  <c r="C71" i="194" s="1"/>
  <c r="D67" i="194"/>
  <c r="G67" i="194"/>
  <c r="G71" i="194" s="1"/>
  <c r="G68" i="194"/>
  <c r="H4" i="191"/>
  <c r="J4" i="191" s="1"/>
  <c r="H6" i="191"/>
  <c r="I6" i="191" s="1"/>
  <c r="H8" i="191"/>
  <c r="J8" i="191" s="1"/>
  <c r="H10" i="191"/>
  <c r="I10" i="191" s="1"/>
  <c r="H69" i="194"/>
  <c r="D73" i="194" s="1"/>
  <c r="I5" i="191"/>
  <c r="I9" i="191"/>
  <c r="J6" i="191" l="1"/>
  <c r="E71" i="194"/>
  <c r="D71" i="194"/>
  <c r="B71" i="194"/>
  <c r="F71" i="194"/>
  <c r="B72" i="194"/>
  <c r="D72" i="194"/>
  <c r="C72" i="194"/>
  <c r="G72" i="194"/>
  <c r="F72" i="194"/>
  <c r="E72" i="194"/>
  <c r="J10" i="191"/>
  <c r="I4" i="191"/>
  <c r="I8" i="191"/>
  <c r="G73" i="194"/>
  <c r="E73" i="194"/>
  <c r="C73" i="194"/>
  <c r="J41" i="1" l="1"/>
  <c r="L40" i="1" l="1"/>
  <c r="H33" i="2"/>
  <c r="J33" i="9"/>
  <c r="D33" i="9"/>
  <c r="E33" i="9"/>
  <c r="K33" i="9" s="1"/>
  <c r="G33" i="9" s="1"/>
  <c r="I33" i="2"/>
  <c r="G33" i="2" s="1"/>
  <c r="E33" i="2"/>
  <c r="D33" i="2"/>
  <c r="B33" i="2"/>
  <c r="J40" i="1"/>
  <c r="G40" i="1"/>
  <c r="H41" i="1" s="1"/>
  <c r="M41" i="1" s="1"/>
  <c r="K41" i="1" s="1"/>
  <c r="B33" i="9"/>
  <c r="G11" i="1"/>
  <c r="L34" i="1"/>
  <c r="L32" i="1"/>
  <c r="L31" i="1"/>
  <c r="L30" i="1"/>
  <c r="L27" i="1"/>
  <c r="L25" i="1"/>
  <c r="L24" i="1"/>
  <c r="L23" i="1"/>
  <c r="L21" i="1"/>
  <c r="L20" i="1"/>
  <c r="L19" i="1"/>
  <c r="L17" i="1"/>
  <c r="L16" i="1"/>
  <c r="L15" i="1"/>
  <c r="L13" i="1"/>
  <c r="L12" i="1"/>
  <c r="L11" i="1"/>
  <c r="H22" i="2"/>
  <c r="H28" i="2"/>
  <c r="H27" i="2"/>
  <c r="H26" i="2"/>
  <c r="H21" i="2"/>
  <c r="H19" i="2"/>
  <c r="H18" i="2"/>
  <c r="H17" i="2"/>
  <c r="H16" i="2"/>
  <c r="H15" i="2"/>
  <c r="H14" i="2"/>
  <c r="H13" i="2"/>
  <c r="H12" i="2"/>
  <c r="J28" i="9"/>
  <c r="J27" i="9"/>
  <c r="J26" i="9"/>
  <c r="J23" i="9"/>
  <c r="J22" i="9"/>
  <c r="J21" i="9"/>
  <c r="J20" i="9"/>
  <c r="J19" i="9"/>
  <c r="J18" i="9"/>
  <c r="J17" i="9"/>
  <c r="J16" i="9"/>
  <c r="J15" i="9"/>
  <c r="J14" i="9"/>
  <c r="J13" i="9"/>
  <c r="J11" i="9"/>
  <c r="D28" i="9"/>
  <c r="D26" i="9"/>
  <c r="D23" i="9"/>
  <c r="D22" i="9"/>
  <c r="D21" i="9"/>
  <c r="D20" i="9"/>
  <c r="D19" i="9"/>
  <c r="D18" i="9"/>
  <c r="D16" i="9"/>
  <c r="D15" i="9"/>
  <c r="D12" i="9"/>
  <c r="D28" i="2"/>
  <c r="D27" i="2"/>
  <c r="D26" i="2"/>
  <c r="D23" i="2"/>
  <c r="D21" i="2"/>
  <c r="D20" i="2"/>
  <c r="D19" i="2"/>
  <c r="D18" i="2"/>
  <c r="D17" i="2"/>
  <c r="D16" i="2"/>
  <c r="D15" i="2"/>
  <c r="D14" i="2"/>
  <c r="D13" i="2"/>
  <c r="G35" i="1"/>
  <c r="G34" i="1"/>
  <c r="G32" i="1"/>
  <c r="G31" i="1"/>
  <c r="G30" i="1"/>
  <c r="G27" i="1"/>
  <c r="G6" i="1" s="1"/>
  <c r="G25" i="1"/>
  <c r="G24" i="1"/>
  <c r="G23" i="1"/>
  <c r="G21" i="1"/>
  <c r="G20" i="1"/>
  <c r="G19" i="1"/>
  <c r="G16" i="1"/>
  <c r="G15" i="1"/>
  <c r="G12" i="1"/>
  <c r="E41" i="1"/>
  <c r="D32" i="9"/>
  <c r="D32" i="2"/>
  <c r="G39" i="1"/>
  <c r="J32" i="9"/>
  <c r="H31" i="2"/>
  <c r="H32" i="2"/>
  <c r="E32" i="2"/>
  <c r="I32" i="2" s="1"/>
  <c r="G32" i="2" s="1"/>
  <c r="B32" i="2"/>
  <c r="L39" i="1"/>
  <c r="L38" i="1"/>
  <c r="B32" i="9" l="1"/>
  <c r="E32" i="9" s="1"/>
  <c r="K32" i="9" s="1"/>
  <c r="G32" i="9" s="1"/>
  <c r="I32" i="9" s="1"/>
  <c r="J39" i="1"/>
  <c r="J31" i="9" l="1"/>
  <c r="D31" i="9"/>
  <c r="B31" i="9"/>
  <c r="D31" i="2"/>
  <c r="B31" i="2"/>
  <c r="E31" i="2" s="1"/>
  <c r="I31" i="2" s="1"/>
  <c r="G31" i="2" s="1"/>
  <c r="J38" i="1"/>
  <c r="G38" i="1"/>
  <c r="E31" i="9" l="1"/>
  <c r="K31" i="9" s="1"/>
  <c r="G31" i="9" s="1"/>
  <c r="I31" i="9" s="1"/>
  <c r="M7" i="1" l="1"/>
  <c r="D7" i="1"/>
  <c r="D6" i="1"/>
  <c r="I7" i="2"/>
  <c r="J6" i="2"/>
  <c r="G7" i="9"/>
  <c r="K7" i="9" s="1"/>
  <c r="L6" i="9"/>
  <c r="B7" i="9" s="1"/>
  <c r="E7" i="9" s="1"/>
  <c r="N45" i="3"/>
  <c r="H45" i="3"/>
  <c r="H44" i="3"/>
  <c r="N44" i="3" s="1"/>
  <c r="L44" i="3" s="1"/>
  <c r="D45" i="3"/>
  <c r="D44" i="3"/>
  <c r="I32" i="3"/>
  <c r="I31" i="3"/>
  <c r="E31" i="3"/>
  <c r="I20" i="3"/>
  <c r="E20" i="3"/>
  <c r="B20" i="3"/>
  <c r="E19" i="3"/>
  <c r="G19" i="3" s="1"/>
  <c r="I19" i="3" s="1"/>
  <c r="J7" i="3"/>
  <c r="B7" i="3"/>
  <c r="E7" i="3" s="1"/>
  <c r="E6" i="3"/>
  <c r="J6" i="3" s="1"/>
  <c r="I6" i="3" s="1"/>
  <c r="J31" i="3" l="1"/>
  <c r="B32" i="3" s="1"/>
  <c r="E32" i="3" s="1"/>
  <c r="J32" i="3" s="1"/>
  <c r="L7" i="9"/>
  <c r="B7" i="2"/>
  <c r="E7" i="2" s="1"/>
  <c r="J7" i="2" s="1"/>
  <c r="O45" i="3"/>
  <c r="J20" i="3"/>
  <c r="K7" i="3"/>
  <c r="I33" i="3" l="1"/>
  <c r="J30" i="9" l="1"/>
  <c r="H30" i="2"/>
  <c r="L36" i="1"/>
  <c r="D30" i="9"/>
  <c r="D30" i="2"/>
  <c r="G36" i="1"/>
  <c r="J36" i="1"/>
  <c r="B30" i="9" l="1"/>
  <c r="E30" i="9" s="1"/>
  <c r="K30" i="9" s="1"/>
  <c r="G30" i="9" s="1"/>
  <c r="I30" i="9" s="1"/>
  <c r="B30" i="2"/>
  <c r="E30" i="2" s="1"/>
  <c r="I30" i="2" s="1"/>
  <c r="E37" i="1"/>
  <c r="G30" i="2" l="1"/>
  <c r="I8" i="2"/>
  <c r="J8" i="3"/>
  <c r="J29" i="9"/>
  <c r="D29" i="9"/>
  <c r="H29" i="2"/>
  <c r="D29" i="2"/>
  <c r="L35" i="1"/>
  <c r="J35" i="1" l="1"/>
  <c r="B29" i="2"/>
  <c r="E29" i="2" s="1"/>
  <c r="I29" i="2" s="1"/>
  <c r="B29" i="9"/>
  <c r="E29" i="9" s="1"/>
  <c r="K29" i="9" s="1"/>
  <c r="G29" i="9" s="1"/>
  <c r="I29" i="9" s="1"/>
  <c r="G29" i="2" l="1"/>
  <c r="G37" i="1" l="1"/>
  <c r="H37" i="1" s="1"/>
  <c r="M37" i="1" s="1"/>
  <c r="L37" i="1"/>
  <c r="B28" i="9" l="1"/>
  <c r="E28" i="9" s="1"/>
  <c r="K28" i="9" s="1"/>
  <c r="G28" i="9" s="1"/>
  <c r="I28" i="9" s="1"/>
  <c r="B28" i="2"/>
  <c r="E28" i="2" s="1"/>
  <c r="I28" i="2" s="1"/>
  <c r="G28" i="2" s="1"/>
  <c r="J34" i="1"/>
  <c r="J37" i="1" s="1"/>
  <c r="K37" i="1" s="1"/>
  <c r="E14" i="1"/>
  <c r="K8" i="9" l="1"/>
  <c r="D27" i="9" l="1"/>
  <c r="E33" i="1"/>
  <c r="J32" i="1"/>
  <c r="B27" i="2" l="1"/>
  <c r="E27" i="2" s="1"/>
  <c r="I27" i="2" s="1"/>
  <c r="G27" i="2" s="1"/>
  <c r="B27" i="9"/>
  <c r="E27" i="9" s="1"/>
  <c r="K27" i="9" s="1"/>
  <c r="G27" i="9" s="1"/>
  <c r="I27" i="9" s="1"/>
  <c r="B11" i="2"/>
  <c r="J31" i="1" l="1"/>
  <c r="H23" i="9" l="1"/>
  <c r="H6" i="9" s="1"/>
  <c r="B8" i="9" l="1"/>
  <c r="J6" i="9"/>
  <c r="D6" i="9"/>
  <c r="C23" i="9"/>
  <c r="C6" i="9" s="1"/>
  <c r="B22" i="9"/>
  <c r="E22" i="9" s="1"/>
  <c r="K22" i="9" s="1"/>
  <c r="B21" i="9"/>
  <c r="B20" i="9"/>
  <c r="B19" i="9"/>
  <c r="B18" i="9"/>
  <c r="E18" i="9" s="1"/>
  <c r="K18" i="9" s="1"/>
  <c r="G18" i="9" s="1"/>
  <c r="I18" i="9" s="1"/>
  <c r="D17" i="9"/>
  <c r="B17" i="9"/>
  <c r="B16" i="9"/>
  <c r="B15" i="9"/>
  <c r="D14" i="9"/>
  <c r="B14" i="9"/>
  <c r="E14" i="9" s="1"/>
  <c r="K14" i="9" s="1"/>
  <c r="D13" i="9"/>
  <c r="B13" i="9"/>
  <c r="J12" i="9"/>
  <c r="B12" i="9"/>
  <c r="D11" i="9"/>
  <c r="B26" i="2"/>
  <c r="E26" i="2" s="1"/>
  <c r="I26" i="2" s="1"/>
  <c r="G26" i="2" s="1"/>
  <c r="H6" i="2"/>
  <c r="D6" i="2"/>
  <c r="C23" i="2"/>
  <c r="C6" i="2" s="1"/>
  <c r="D22" i="2"/>
  <c r="B22" i="2"/>
  <c r="B21" i="2"/>
  <c r="B20" i="2"/>
  <c r="E20" i="2" s="1"/>
  <c r="I20" i="2" s="1"/>
  <c r="G20" i="2" s="1"/>
  <c r="B19" i="2"/>
  <c r="B18" i="2"/>
  <c r="B17" i="2"/>
  <c r="B16" i="2"/>
  <c r="B15" i="2"/>
  <c r="E15" i="2" s="1"/>
  <c r="I15" i="2" s="1"/>
  <c r="G15" i="2" s="1"/>
  <c r="B14" i="2"/>
  <c r="B13" i="2"/>
  <c r="D12" i="2"/>
  <c r="B12" i="2"/>
  <c r="E12" i="2" s="1"/>
  <c r="I12" i="2" s="1"/>
  <c r="G12" i="2" s="1"/>
  <c r="D11" i="2"/>
  <c r="E11" i="2"/>
  <c r="I11" i="2" s="1"/>
  <c r="E6" i="2" l="1"/>
  <c r="I6" i="2" s="1"/>
  <c r="E12" i="9"/>
  <c r="K12" i="9" s="1"/>
  <c r="G12" i="9" s="1"/>
  <c r="I12" i="9" s="1"/>
  <c r="E16" i="9"/>
  <c r="K16" i="9" s="1"/>
  <c r="G16" i="9" s="1"/>
  <c r="I16" i="9" s="1"/>
  <c r="E20" i="9"/>
  <c r="K20" i="9" s="1"/>
  <c r="G20" i="9" s="1"/>
  <c r="I20" i="9" s="1"/>
  <c r="E16" i="2"/>
  <c r="I16" i="2" s="1"/>
  <c r="G16" i="2" s="1"/>
  <c r="E19" i="9"/>
  <c r="K19" i="9" s="1"/>
  <c r="G19" i="9" s="1"/>
  <c r="I19" i="9" s="1"/>
  <c r="E19" i="2"/>
  <c r="I19" i="2" s="1"/>
  <c r="G19" i="2" s="1"/>
  <c r="E13" i="9"/>
  <c r="K13" i="9" s="1"/>
  <c r="G13" i="9" s="1"/>
  <c r="I13" i="9" s="1"/>
  <c r="E14" i="2"/>
  <c r="I14" i="2" s="1"/>
  <c r="G14" i="2" s="1"/>
  <c r="E18" i="2"/>
  <c r="I18" i="2" s="1"/>
  <c r="G18" i="2" s="1"/>
  <c r="E22" i="2"/>
  <c r="I22" i="2" s="1"/>
  <c r="G22" i="2" s="1"/>
  <c r="E23" i="2"/>
  <c r="G11" i="2"/>
  <c r="E17" i="9"/>
  <c r="K17" i="9" s="1"/>
  <c r="G17" i="9" s="1"/>
  <c r="I17" i="9" s="1"/>
  <c r="G22" i="9"/>
  <c r="I22" i="9" s="1"/>
  <c r="E15" i="9"/>
  <c r="K15" i="9" s="1"/>
  <c r="G15" i="9" s="1"/>
  <c r="I15" i="9" s="1"/>
  <c r="G14" i="9"/>
  <c r="I14" i="9" s="1"/>
  <c r="E21" i="9"/>
  <c r="K21" i="9" s="1"/>
  <c r="G21" i="9" s="1"/>
  <c r="I21" i="9" s="1"/>
  <c r="E11" i="9"/>
  <c r="K11" i="9" s="1"/>
  <c r="G11" i="9" s="1"/>
  <c r="E13" i="2"/>
  <c r="I13" i="2" s="1"/>
  <c r="G13" i="2" s="1"/>
  <c r="E17" i="2"/>
  <c r="I17" i="2" s="1"/>
  <c r="G17" i="2" s="1"/>
  <c r="E21" i="2"/>
  <c r="I21" i="2" s="1"/>
  <c r="G21" i="2" s="1"/>
  <c r="J17" i="1"/>
  <c r="B44" i="1"/>
  <c r="E46" i="3"/>
  <c r="N46" i="3"/>
  <c r="G6" i="2" l="1"/>
  <c r="K6" i="9"/>
  <c r="G6" i="9" s="1"/>
  <c r="I6" i="9" s="1"/>
  <c r="G23" i="9"/>
  <c r="I23" i="9" s="1"/>
  <c r="I23" i="2"/>
  <c r="G23" i="2"/>
  <c r="K23" i="9"/>
  <c r="I11" i="9"/>
  <c r="G33" i="1" l="1"/>
  <c r="L33" i="1"/>
  <c r="H33" i="1" l="1"/>
  <c r="M33" i="1" s="1"/>
  <c r="J30" i="1"/>
  <c r="J33" i="1" s="1"/>
  <c r="K33" i="1" l="1"/>
  <c r="L6" i="1"/>
  <c r="H6" i="1"/>
  <c r="M6" i="1" s="1"/>
  <c r="J25" i="1"/>
  <c r="J24" i="1"/>
  <c r="J23" i="1"/>
  <c r="E26" i="1"/>
  <c r="J21" i="1"/>
  <c r="J20" i="1"/>
  <c r="J19" i="1"/>
  <c r="N18" i="1"/>
  <c r="E22" i="1" s="1"/>
  <c r="G17" i="1"/>
  <c r="J16" i="1"/>
  <c r="J15" i="1"/>
  <c r="N14" i="1"/>
  <c r="E18" i="1" s="1"/>
  <c r="J13" i="1"/>
  <c r="G13" i="1"/>
  <c r="J12" i="1"/>
  <c r="J11" i="1"/>
  <c r="L14" i="1" l="1"/>
  <c r="L18" i="1"/>
  <c r="G26" i="1"/>
  <c r="H26" i="1" s="1"/>
  <c r="M26" i="1" s="1"/>
  <c r="G14" i="1"/>
  <c r="H14" i="1" s="1"/>
  <c r="M14" i="1" s="1"/>
  <c r="J22" i="1"/>
  <c r="L22" i="1"/>
  <c r="G18" i="1"/>
  <c r="H18" i="1" s="1"/>
  <c r="M18" i="1" s="1"/>
  <c r="J18" i="1"/>
  <c r="J26" i="1"/>
  <c r="L26" i="1"/>
  <c r="G22" i="1"/>
  <c r="H22" i="1" s="1"/>
  <c r="M22" i="1" s="1"/>
  <c r="K22" i="1" s="1"/>
  <c r="J14" i="1"/>
  <c r="K18" i="1" l="1"/>
  <c r="K26" i="1"/>
  <c r="K14" i="1"/>
  <c r="J27" i="1"/>
  <c r="J6" i="1" s="1"/>
  <c r="K6" i="1" s="1"/>
  <c r="M8" i="1" l="1"/>
  <c r="I21" i="3" l="1"/>
  <c r="B26" i="9" l="1"/>
  <c r="E26" i="9" l="1"/>
  <c r="K26" i="9" s="1"/>
  <c r="G26" i="9" s="1"/>
  <c r="I26" i="9" s="1"/>
  <c r="B49" i="6" l="1"/>
  <c r="B49" i="5"/>
  <c r="B48" i="4"/>
  <c r="B50" i="3"/>
  <c r="B36" i="9"/>
  <c r="B36" i="2"/>
  <c r="E7" i="1" l="1"/>
  <c r="H7" i="1" l="1"/>
  <c r="N7" i="1" s="1"/>
  <c r="E8" i="1" s="1"/>
  <c r="E45" i="3"/>
  <c r="H46" i="3" l="1"/>
  <c r="O46" i="3" s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B8" i="2" l="1"/>
  <c r="E8" i="2" s="1"/>
  <c r="J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Bukowski, Maria - REE-ERS, Kansas City, MO</author>
  </authors>
  <commentList>
    <comment ref="E2" authorId="0" shapeId="0" xr:uid="{F3AE6548-CE5D-4199-A7B8-5C0C00758A44}">
      <text>
        <r>
          <rPr>
            <sz val="9"/>
            <color indexed="81"/>
            <rFont val="Tahoma"/>
            <family val="2"/>
          </rPr>
          <t xml:space="preserve">ERS estimates due to missing monthly data (W)
</t>
        </r>
      </text>
    </comment>
    <comment ref="E3" authorId="0" shapeId="0" xr:uid="{23FAA5DD-65A6-47B3-8CC8-93F95B35A5C7}">
      <text>
        <r>
          <rPr>
            <sz val="9"/>
            <color indexed="81"/>
            <rFont val="Tahoma"/>
            <family val="2"/>
          </rPr>
          <t xml:space="preserve">ERS estimate using EIA monthly data
</t>
        </r>
      </text>
    </comment>
  </commentList>
</comments>
</file>

<file path=xl/sharedStrings.xml><?xml version="1.0" encoding="utf-8"?>
<sst xmlns="http://schemas.openxmlformats.org/spreadsheetml/2006/main" count="654" uniqueCount="248">
  <si>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</si>
  <si>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</si>
  <si>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</si>
  <si>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</si>
  <si>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</si>
  <si>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</si>
  <si>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</si>
  <si>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</si>
  <si>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</si>
  <si>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</si>
  <si>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</si>
  <si>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</si>
  <si>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</si>
  <si>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</si>
  <si>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</si>
  <si>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</si>
  <si>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</si>
  <si>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</si>
  <si>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</si>
  <si>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</si>
  <si>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</si>
  <si>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</si>
  <si>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</si>
  <si>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</si>
  <si>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</si>
  <si>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</si>
  <si>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</si>
  <si>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</si>
  <si>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</si>
  <si>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</si>
  <si>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</si>
  <si>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</si>
  <si>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</si>
  <si>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</si>
  <si>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</si>
  <si>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</si>
  <si>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</si>
  <si>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2022/23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</si>
  <si>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</si>
  <si>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</si>
  <si>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</si>
  <si>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</si>
  <si>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</si>
  <si>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</si>
  <si>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</si>
  <si>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</si>
  <si>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</si>
  <si>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</si>
  <si>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</si>
  <si>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</si>
  <si>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</si>
  <si>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</si>
  <si>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</si>
  <si>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</si>
  <si>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2023/24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</si>
  <si>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</si>
  <si>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</si>
  <si>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</si>
  <si>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</si>
  <si>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</si>
  <si>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</si>
  <si>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</si>
  <si>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</si>
  <si>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</si>
  <si>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</si>
  <si>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</si>
  <si>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</si>
  <si>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</si>
  <si>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</si>
  <si>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</si>
  <si>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</si>
  <si>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</si>
  <si>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</si>
  <si>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</si>
  <si>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</si>
  <si>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</si>
  <si>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</si>
  <si>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</si>
  <si>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</si>
  <si>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</si>
  <si>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</si>
  <si>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</si>
  <si>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</si>
  <si>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</si>
  <si>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</si>
  <si>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</si>
  <si>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</si>
  <si>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</si>
  <si>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</si>
  <si>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</si>
  <si>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</si>
  <si>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</si>
  <si>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</si>
  <si>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</si>
  <si>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</si>
  <si>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</si>
  <si>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</si>
  <si>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</si>
  <si>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</si>
  <si>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</si>
  <si>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</si>
  <si>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</si>
  <si>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</si>
  <si>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</si>
  <si>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</si>
  <si>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</si>
  <si>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</si>
  <si>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</si>
  <si>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</si>
  <si>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</si>
  <si>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</si>
  <si>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</si>
  <si>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</si>
  <si>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</si>
  <si>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</si>
  <si>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</si>
  <si>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</si>
  <si>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</si>
  <si>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</si>
  <si>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</si>
  <si>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</si>
  <si>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</si>
  <si>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</si>
  <si>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</si>
  <si>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</si>
  <si>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</si>
  <si>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</si>
  <si>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</si>
  <si>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</si>
  <si>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</si>
  <si>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</si>
  <si>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</si>
  <si>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</si>
  <si>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</si>
  <si>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</si>
  <si>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</si>
  <si>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</si>
  <si>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</si>
  <si>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</si>
  <si>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</si>
  <si>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</si>
  <si>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</si>
  <si>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</si>
  <si>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</si>
  <si>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</si>
  <si>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</si>
  <si>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</si>
  <si>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</si>
  <si>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</si>
  <si>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</si>
  <si>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</si>
  <si>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</si>
  <si>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</si>
  <si>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</si>
  <si>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r>
      <t>2024/25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</si>
  <si>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</si>
  <si>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</si>
  <si>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r>
      <t>2024/25</t>
    </r>
    <r>
      <rPr>
        <vertAlign val="superscript"/>
        <sz val="11"/>
        <rFont val="Arial"/>
        <family val="2"/>
      </rPr>
      <t>7</t>
    </r>
  </si>
  <si>
    <t xml:space="preserve"> March-May</t>
  </si>
  <si>
    <t>Delta</t>
  </si>
  <si>
    <t>East Corn Belt</t>
  </si>
  <si>
    <t>West Corn Belt</t>
  </si>
  <si>
    <t>Central Plains</t>
  </si>
  <si>
    <t>Northern Plains</t>
  </si>
  <si>
    <t>Others</t>
  </si>
  <si>
    <t>2024/25*</t>
  </si>
  <si>
    <t>U.S. total</t>
  </si>
  <si>
    <t>Q3</t>
  </si>
  <si>
    <t>Quarter</t>
  </si>
  <si>
    <t>Q1</t>
  </si>
  <si>
    <t>Q2</t>
  </si>
  <si>
    <t>Q4</t>
  </si>
  <si>
    <t>Peanuts</t>
  </si>
  <si>
    <t>Biofuel use</t>
  </si>
  <si>
    <t>RVO mandate 2023</t>
  </si>
  <si>
    <t>RVO mandate 2024</t>
  </si>
  <si>
    <t>Jan.</t>
  </si>
  <si>
    <t>Feb.</t>
  </si>
  <si>
    <t>Mar.</t>
  </si>
  <si>
    <t>Apr.</t>
  </si>
  <si>
    <t>Jun.</t>
  </si>
  <si>
    <t>Jul.</t>
  </si>
  <si>
    <t>Aug.</t>
  </si>
  <si>
    <t>Sep.</t>
  </si>
  <si>
    <t>Oct.</t>
  </si>
  <si>
    <t>Nov.</t>
  </si>
  <si>
    <t>Dec.</t>
  </si>
  <si>
    <t>RIN Value</t>
  </si>
  <si>
    <t>RIN Multiplier</t>
  </si>
  <si>
    <t>LCFS Value Ton of Carbon</t>
  </si>
  <si>
    <t>Diesel CI Score</t>
  </si>
  <si>
    <t>Energy Density of RD</t>
  </si>
  <si>
    <t>Feedstock</t>
  </si>
  <si>
    <t>Soybean oil</t>
  </si>
  <si>
    <t>Used cooking oil</t>
  </si>
  <si>
    <t>Canola oil</t>
  </si>
  <si>
    <t>Tallow</t>
  </si>
  <si>
    <t>Average low carbon fuel standard carbon intensity score for feedstocks used in production of biomass-based diesel in California</t>
  </si>
  <si>
    <t>Carbon intensity score</t>
  </si>
  <si>
    <t>Note: Carbon intensity score is an average across all locations, individual plants have different scores.</t>
  </si>
  <si>
    <t>Source: USDA, Economic Research Service using California Air Resource Board data.</t>
  </si>
  <si>
    <t xml:space="preserve"> U.S. Animal Fats Price, Cents per Pounds</t>
  </si>
  <si>
    <t>Inedible tallow, Chicago, IL, packers' prime</t>
  </si>
  <si>
    <t>Choice white grease, tanks, delivered Chicago, IL</t>
  </si>
  <si>
    <t>Imported Processed Oils (HS code: 1518004000), CIF unit value</t>
  </si>
  <si>
    <t>Soybean oil, Decatur, IL</t>
  </si>
  <si>
    <t>2024*</t>
  </si>
  <si>
    <t>Billion gallons</t>
  </si>
  <si>
    <t>Caledar year</t>
  </si>
  <si>
    <t>Biodiesel</t>
  </si>
  <si>
    <t>Renewable diesel fuel</t>
  </si>
  <si>
    <t>Other biofuels</t>
  </si>
  <si>
    <t>Grease</t>
  </si>
  <si>
    <t>Other fats</t>
  </si>
  <si>
    <t>Total animal fats, waste oils, and greases (left axis)</t>
  </si>
  <si>
    <t>Total vegetable oils (left axis)</t>
  </si>
  <si>
    <t>Poultry fats</t>
  </si>
  <si>
    <t>Total animal fats, waste oils, and greases</t>
  </si>
  <si>
    <t>Australia</t>
  </si>
  <si>
    <t>Canada</t>
  </si>
  <si>
    <t>ROW</t>
  </si>
  <si>
    <t>U.S. total imports</t>
  </si>
  <si>
    <t>China</t>
  </si>
  <si>
    <t>Chile</t>
  </si>
  <si>
    <t>New Zealand</t>
  </si>
  <si>
    <t>Total tallow</t>
  </si>
  <si>
    <t>Processed oils</t>
  </si>
  <si>
    <t>Assumptions</t>
  </si>
  <si>
    <t>Average CI Score</t>
  </si>
  <si>
    <t>Share of animal fats, waste oils, and greases (label)</t>
  </si>
  <si>
    <t>Share of vegetable oils (label)</t>
  </si>
  <si>
    <t>Total biomass-based diesel</t>
  </si>
  <si>
    <t>Fats and oils total</t>
  </si>
  <si>
    <t>Percent</t>
  </si>
  <si>
    <t>Calendar year, million pounds</t>
  </si>
  <si>
    <t>Monthly, million pounds</t>
  </si>
  <si>
    <t>China imports from Brazil, Argentina, and the United States (million metric tons)</t>
  </si>
  <si>
    <t>Minor oilseeds acreage, 000 acres</t>
  </si>
  <si>
    <t>Sunflowerseed</t>
  </si>
  <si>
    <t>Tallow, total</t>
  </si>
  <si>
    <t>Greases</t>
  </si>
  <si>
    <t>Total animal fats and greases</t>
  </si>
  <si>
    <t>D4 cumulative volume, 2023</t>
  </si>
  <si>
    <t>D4 cumulative volume, 2024</t>
  </si>
  <si>
    <t>Q4*</t>
  </si>
  <si>
    <t>Food and other use</t>
  </si>
  <si>
    <t>Calendar year</t>
  </si>
  <si>
    <t>Table 1sa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</si>
</sst>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[$-409]mmm\-yy;@"/>
    <numFmt numFmtId="178" formatCode="0.000"/>
    <numFmt numFmtId="179" formatCode="#,##0.000"/>
    <numFmt numFmtId="180" formatCode="#,##0.0_);\(#,##0.0\)"/>
  </numFmts>
  <fonts count="1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00000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84">
    <xf numFmtId="0" fontId="0" fillId="0" borderId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9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61" fillId="0" borderId="0"/>
    <xf numFmtId="0" fontId="46" fillId="0" borderId="0"/>
    <xf numFmtId="0" fontId="45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43" fontId="4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39" fillId="0" borderId="0"/>
    <xf numFmtId="44" fontId="47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43" fontId="34" fillId="0" borderId="0" applyFont="0" applyFill="0" applyBorder="0" applyAlignment="0" applyProtection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7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71" fillId="0" borderId="8" applyNumberFormat="0" applyFont="0" applyProtection="0">
      <alignment wrapText="1"/>
    </xf>
    <xf numFmtId="43" fontId="6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Protection="0">
      <alignment vertical="top" wrapText="1"/>
    </xf>
    <xf numFmtId="0" fontId="71" fillId="0" borderId="9" applyNumberFormat="0" applyProtection="0">
      <alignment vertical="top" wrapText="1"/>
    </xf>
    <xf numFmtId="0" fontId="73" fillId="0" borderId="7" applyNumberFormat="0" applyProtection="0">
      <alignment wrapText="1"/>
    </xf>
    <xf numFmtId="0" fontId="73" fillId="0" borderId="10" applyNumberFormat="0" applyProtection="0">
      <alignment horizontal="left" wrapText="1"/>
    </xf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11" applyNumberFormat="0" applyProtection="0">
      <alignment wrapText="1"/>
    </xf>
    <xf numFmtId="0" fontId="71" fillId="0" borderId="12" applyNumberFormat="0" applyFont="0" applyFill="0" applyProtection="0">
      <alignment wrapText="1"/>
    </xf>
    <xf numFmtId="0" fontId="73" fillId="0" borderId="13" applyNumberFormat="0" applyFill="0" applyProtection="0">
      <alignment wrapText="1"/>
    </xf>
    <xf numFmtId="0" fontId="75" fillId="0" borderId="0" applyNumberFormat="0" applyProtection="0">
      <alignment horizontal="left"/>
    </xf>
    <xf numFmtId="0" fontId="76" fillId="0" borderId="0" applyNumberFormat="0" applyFill="0" applyBorder="0" applyAlignment="0" applyProtection="0"/>
    <xf numFmtId="0" fontId="77" fillId="0" borderId="7" applyNumberFormat="0" applyFill="0" applyAlignment="0" applyProtection="0"/>
    <xf numFmtId="0" fontId="78" fillId="0" borderId="14" applyNumberFormat="0" applyFill="0" applyAlignment="0" applyProtection="0"/>
    <xf numFmtId="0" fontId="79" fillId="0" borderId="15" applyNumberFormat="0" applyFill="0" applyAlignment="0" applyProtection="0"/>
    <xf numFmtId="0" fontId="79" fillId="0" borderId="0" applyNumberFormat="0" applyFill="0" applyBorder="0" applyAlignment="0" applyProtection="0"/>
    <xf numFmtId="0" fontId="80" fillId="3" borderId="0" applyNumberFormat="0" applyBorder="0" applyAlignment="0" applyProtection="0"/>
    <xf numFmtId="0" fontId="81" fillId="4" borderId="0" applyNumberFormat="0" applyBorder="0" applyAlignment="0" applyProtection="0"/>
    <xf numFmtId="0" fontId="82" fillId="5" borderId="0" applyNumberFormat="0" applyBorder="0" applyAlignment="0" applyProtection="0"/>
    <xf numFmtId="0" fontId="83" fillId="6" borderId="16" applyNumberFormat="0" applyAlignment="0" applyProtection="0"/>
    <xf numFmtId="0" fontId="84" fillId="7" borderId="17" applyNumberFormat="0" applyAlignment="0" applyProtection="0"/>
    <xf numFmtId="0" fontId="85" fillId="7" borderId="16" applyNumberFormat="0" applyAlignment="0" applyProtection="0"/>
    <xf numFmtId="0" fontId="86" fillId="0" borderId="18" applyNumberFormat="0" applyFill="0" applyAlignment="0" applyProtection="0"/>
    <xf numFmtId="0" fontId="87" fillId="8" borderId="19" applyNumberFormat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21" applyNumberFormat="0" applyFill="0" applyAlignment="0" applyProtection="0"/>
    <xf numFmtId="0" fontId="9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9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9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9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9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9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7" fillId="55" borderId="32" applyNumberFormat="0" applyFont="0" applyAlignment="0" applyProtection="0"/>
    <xf numFmtId="0" fontId="47" fillId="55" borderId="40" applyNumberFormat="0" applyFont="0" applyAlignment="0" applyProtection="0"/>
    <xf numFmtId="0" fontId="102" fillId="52" borderId="39" applyNumberFormat="0" applyAlignment="0" applyProtection="0"/>
    <xf numFmtId="0" fontId="5" fillId="9" borderId="20" applyNumberFormat="0" applyFont="0" applyAlignment="0" applyProtection="0"/>
    <xf numFmtId="0" fontId="102" fillId="52" borderId="31" applyNumberFormat="0" applyAlignment="0" applyProtection="0"/>
    <xf numFmtId="0" fontId="93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91" fillId="33" borderId="0" applyNumberFormat="0" applyBorder="0" applyAlignment="0" applyProtection="0"/>
    <xf numFmtId="43" fontId="95" fillId="0" borderId="0" applyFont="0" applyFill="0" applyBorder="0" applyAlignment="0" applyProtection="0"/>
    <xf numFmtId="0" fontId="91" fillId="29" borderId="0" applyNumberFormat="0" applyBorder="0" applyAlignment="0" applyProtection="0"/>
    <xf numFmtId="43" fontId="5" fillId="0" borderId="0" applyFont="0" applyFill="0" applyBorder="0" applyAlignment="0" applyProtection="0"/>
    <xf numFmtId="0" fontId="91" fillId="25" borderId="0" applyNumberFormat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1" fillId="21" borderId="0" applyNumberFormat="0" applyBorder="0" applyAlignment="0" applyProtection="0"/>
    <xf numFmtId="43" fontId="95" fillId="0" borderId="0" applyFont="0" applyFill="0" applyBorder="0" applyAlignment="0" applyProtection="0"/>
    <xf numFmtId="0" fontId="91" fillId="17" borderId="0" applyNumberFormat="0" applyBorder="0" applyAlignment="0" applyProtection="0"/>
    <xf numFmtId="43" fontId="95" fillId="0" borderId="0" applyFont="0" applyFill="0" applyBorder="0" applyAlignment="0" applyProtection="0"/>
    <xf numFmtId="0" fontId="91" fillId="13" borderId="0" applyNumberFormat="0" applyBorder="0" applyAlignment="0" applyProtection="0"/>
    <xf numFmtId="43" fontId="95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6" fillId="5" borderId="0" applyNumberFormat="0" applyBorder="0" applyAlignment="0" applyProtection="0"/>
    <xf numFmtId="0" fontId="93" fillId="0" borderId="0"/>
    <xf numFmtId="0" fontId="93" fillId="0" borderId="0"/>
    <xf numFmtId="0" fontId="47" fillId="0" borderId="0">
      <alignment vertical="center"/>
    </xf>
    <xf numFmtId="0" fontId="5" fillId="0" borderId="0"/>
    <xf numFmtId="0" fontId="5" fillId="9" borderId="20" applyNumberFormat="0" applyFont="0" applyAlignment="0" applyProtection="0"/>
    <xf numFmtId="0" fontId="97" fillId="0" borderId="0" applyNumberFormat="0" applyFill="0" applyBorder="0" applyAlignment="0" applyProtection="0"/>
    <xf numFmtId="9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8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91" fillId="21" borderId="0" applyNumberFormat="0" applyBorder="0" applyAlignment="0" applyProtection="0"/>
    <xf numFmtId="0" fontId="91" fillId="25" borderId="0" applyNumberFormat="0" applyBorder="0" applyAlignment="0" applyProtection="0"/>
    <xf numFmtId="0" fontId="91" fillId="33" borderId="0" applyNumberFormat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5" fillId="0" borderId="0"/>
    <xf numFmtId="0" fontId="93" fillId="0" borderId="0"/>
    <xf numFmtId="0" fontId="98" fillId="0" borderId="0"/>
    <xf numFmtId="0" fontId="5" fillId="0" borderId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1" fillId="21" borderId="0" applyNumberFormat="0" applyBorder="0" applyAlignment="0" applyProtection="0"/>
    <xf numFmtId="0" fontId="91" fillId="25" borderId="0" applyNumberFormat="0" applyBorder="0" applyAlignment="0" applyProtection="0"/>
    <xf numFmtId="0" fontId="91" fillId="33" borderId="0" applyNumberFormat="0" applyBorder="0" applyAlignment="0" applyProtection="0"/>
    <xf numFmtId="0" fontId="5" fillId="0" borderId="0"/>
    <xf numFmtId="0" fontId="5" fillId="9" borderId="20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9" borderId="20" applyNumberFormat="0" applyFont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95" fillId="42" borderId="0" applyNumberFormat="0" applyBorder="0" applyAlignment="0" applyProtection="0"/>
    <xf numFmtId="0" fontId="95" fillId="37" borderId="0" applyNumberFormat="0" applyBorder="0" applyAlignment="0" applyProtection="0"/>
    <xf numFmtId="0" fontId="95" fillId="40" borderId="0" applyNumberFormat="0" applyBorder="0" applyAlignment="0" applyProtection="0"/>
    <xf numFmtId="0" fontId="95" fillId="43" borderId="0" applyNumberFormat="0" applyBorder="0" applyAlignment="0" applyProtection="0"/>
    <xf numFmtId="0" fontId="100" fillId="44" borderId="0" applyNumberFormat="0" applyBorder="0" applyAlignment="0" applyProtection="0"/>
    <xf numFmtId="0" fontId="100" fillId="41" borderId="0" applyNumberFormat="0" applyBorder="0" applyAlignment="0" applyProtection="0"/>
    <xf numFmtId="0" fontId="100" fillId="42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50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51" borderId="0" applyNumberFormat="0" applyBorder="0" applyAlignment="0" applyProtection="0"/>
    <xf numFmtId="0" fontId="101" fillId="35" borderId="0" applyNumberFormat="0" applyBorder="0" applyAlignment="0" applyProtection="0"/>
    <xf numFmtId="0" fontId="102" fillId="52" borderId="22" applyNumberFormat="0" applyAlignment="0" applyProtection="0"/>
    <xf numFmtId="0" fontId="103" fillId="53" borderId="23" applyNumberFormat="0" applyAlignment="0" applyProtection="0"/>
    <xf numFmtId="43" fontId="4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36" borderId="0" applyNumberFormat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8" fillId="0" borderId="26" applyNumberFormat="0" applyFill="0" applyAlignment="0" applyProtection="0"/>
    <xf numFmtId="0" fontId="108" fillId="0" borderId="0" applyNumberFormat="0" applyFill="0" applyBorder="0" applyAlignment="0" applyProtection="0"/>
    <xf numFmtId="0" fontId="109" fillId="39" borderId="22" applyNumberFormat="0" applyAlignment="0" applyProtection="0"/>
    <xf numFmtId="0" fontId="110" fillId="0" borderId="27" applyNumberFormat="0" applyFill="0" applyAlignment="0" applyProtection="0"/>
    <xf numFmtId="0" fontId="111" fillId="54" borderId="0" applyNumberFormat="0" applyBorder="0" applyAlignment="0" applyProtection="0"/>
    <xf numFmtId="0" fontId="47" fillId="0" borderId="0"/>
    <xf numFmtId="0" fontId="47" fillId="55" borderId="28" applyNumberFormat="0" applyFont="0" applyAlignment="0" applyProtection="0"/>
    <xf numFmtId="0" fontId="47" fillId="55" borderId="28" applyNumberFormat="0" applyFont="0" applyAlignment="0" applyProtection="0"/>
    <xf numFmtId="0" fontId="112" fillId="52" borderId="29" applyNumberFormat="0" applyAlignment="0" applyProtection="0"/>
    <xf numFmtId="9" fontId="4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115" fillId="0" borderId="0" applyNumberFormat="0" applyFill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3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9" borderId="20" applyNumberFormat="0" applyFont="0" applyAlignment="0" applyProtection="0"/>
    <xf numFmtId="0" fontId="97" fillId="0" borderId="0" applyNumberFormat="0" applyFill="0" applyBorder="0" applyAlignment="0" applyProtection="0"/>
    <xf numFmtId="9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9" borderId="20" applyNumberFormat="0" applyFont="0" applyAlignment="0" applyProtection="0"/>
    <xf numFmtId="0" fontId="109" fillId="39" borderId="39" applyNumberFormat="0" applyAlignment="0" applyProtection="0"/>
    <xf numFmtId="0" fontId="47" fillId="55" borderId="36" applyNumberFormat="0" applyFont="0" applyAlignment="0" applyProtection="0"/>
    <xf numFmtId="0" fontId="112" fillId="52" borderId="37" applyNumberFormat="0" applyAlignment="0" applyProtection="0"/>
    <xf numFmtId="0" fontId="112" fillId="52" borderId="41" applyNumberFormat="0" applyAlignment="0" applyProtection="0"/>
    <xf numFmtId="0" fontId="114" fillId="0" borderId="42" applyNumberFormat="0" applyFill="0" applyAlignment="0" applyProtection="0"/>
    <xf numFmtId="0" fontId="114" fillId="0" borderId="34" applyNumberFormat="0" applyFill="0" applyAlignment="0" applyProtection="0"/>
    <xf numFmtId="0" fontId="47" fillId="55" borderId="40" applyNumberFormat="0" applyFont="0" applyAlignment="0" applyProtection="0"/>
    <xf numFmtId="0" fontId="102" fillId="52" borderId="35" applyNumberFormat="0" applyAlignment="0" applyProtection="0"/>
    <xf numFmtId="0" fontId="47" fillId="55" borderId="32" applyNumberFormat="0" applyFont="0" applyAlignment="0" applyProtection="0"/>
    <xf numFmtId="0" fontId="114" fillId="0" borderId="38" applyNumberFormat="0" applyFill="0" applyAlignment="0" applyProtection="0"/>
    <xf numFmtId="0" fontId="109" fillId="39" borderId="31" applyNumberFormat="0" applyAlignment="0" applyProtection="0"/>
    <xf numFmtId="0" fontId="47" fillId="55" borderId="36" applyNumberFormat="0" applyFont="0" applyAlignment="0" applyProtection="0"/>
    <xf numFmtId="0" fontId="112" fillId="52" borderId="33" applyNumberFormat="0" applyAlignment="0" applyProtection="0"/>
    <xf numFmtId="0" fontId="109" fillId="39" borderId="35" applyNumberFormat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</cellStyleXfs>
  <cellXfs count="280">
    <xf numFmtId="0" fontId="0" fillId="0" borderId="0" xfId="0"/>
    <xf numFmtId="0" fontId="48" fillId="0" borderId="0" xfId="8"/>
    <xf numFmtId="0" fontId="49" fillId="0" borderId="0" xfId="8" applyFont="1"/>
    <xf numFmtId="0" fontId="54" fillId="0" borderId="0" xfId="8" applyFont="1"/>
    <xf numFmtId="0" fontId="55" fillId="0" borderId="0" xfId="8" applyFont="1"/>
    <xf numFmtId="169" fontId="56" fillId="0" borderId="0" xfId="1" applyNumberFormat="1" applyFont="1" applyFill="1" applyBorder="1" applyAlignment="1">
      <alignment horizontal="center"/>
    </xf>
    <xf numFmtId="169" fontId="56" fillId="0" borderId="0" xfId="1" applyNumberFormat="1" applyFont="1" applyFill="1" applyBorder="1" applyAlignment="1">
      <alignment horizontal="right" indent="1"/>
    </xf>
    <xf numFmtId="0" fontId="62" fillId="0" borderId="0" xfId="7" applyFont="1" applyAlignment="1">
      <alignment horizontal="left"/>
    </xf>
    <xf numFmtId="0" fontId="63" fillId="0" borderId="0" xfId="5" applyFont="1" applyAlignment="1" applyProtection="1"/>
    <xf numFmtId="14" fontId="62" fillId="0" borderId="0" xfId="7" applyNumberFormat="1" applyFont="1" applyAlignment="1">
      <alignment horizontal="left"/>
    </xf>
    <xf numFmtId="0" fontId="63" fillId="0" borderId="0" xfId="4" applyFont="1" applyAlignment="1" applyProtection="1"/>
    <xf numFmtId="0" fontId="56" fillId="0" borderId="0" xfId="7" quotePrefix="1" applyFont="1" applyAlignment="1">
      <alignment horizontal="left"/>
    </xf>
    <xf numFmtId="0" fontId="56" fillId="0" borderId="0" xfId="8" applyFont="1" applyAlignment="1">
      <alignment wrapText="1"/>
    </xf>
    <xf numFmtId="169" fontId="56" fillId="0" borderId="0" xfId="1" applyNumberFormat="1" applyFont="1" applyFill="1" applyBorder="1" applyAlignment="1">
      <alignment horizontal="right"/>
    </xf>
    <xf numFmtId="0" fontId="56" fillId="0" borderId="1" xfId="0" applyFont="1" applyBorder="1"/>
    <xf numFmtId="0" fontId="56" fillId="0" borderId="0" xfId="0" applyFont="1"/>
    <xf numFmtId="0" fontId="56" fillId="0" borderId="2" xfId="0" applyFont="1" applyBorder="1" applyAlignment="1">
      <alignment horizontal="right"/>
    </xf>
    <xf numFmtId="0" fontId="56" fillId="0" borderId="0" xfId="0" applyFont="1" applyAlignment="1">
      <alignment horizontal="center"/>
    </xf>
    <xf numFmtId="0" fontId="0" fillId="0" borderId="2" xfId="0" applyBorder="1"/>
    <xf numFmtId="0" fontId="56" fillId="0" borderId="2" xfId="0" applyFont="1" applyBorder="1" applyAlignment="1">
      <alignment horizontal="left"/>
    </xf>
    <xf numFmtId="0" fontId="56" fillId="0" borderId="0" xfId="0" applyFont="1" applyAlignment="1">
      <alignment horizontal="right"/>
    </xf>
    <xf numFmtId="16" fontId="56" fillId="0" borderId="1" xfId="0" quotePrefix="1" applyNumberFormat="1" applyFont="1" applyBorder="1"/>
    <xf numFmtId="16" fontId="56" fillId="0" borderId="1" xfId="0" applyNumberFormat="1" applyFont="1" applyBorder="1"/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>
      <alignment horizontal="right"/>
    </xf>
    <xf numFmtId="0" fontId="56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57" fillId="0" borderId="0" xfId="0" quotePrefix="1" applyFont="1" applyAlignment="1">
      <alignment horizontal="right"/>
    </xf>
    <xf numFmtId="164" fontId="56" fillId="0" borderId="0" xfId="1" applyNumberFormat="1" applyFont="1" applyFill="1" applyBorder="1"/>
    <xf numFmtId="164" fontId="56" fillId="0" borderId="0" xfId="1" applyNumberFormat="1" applyFont="1" applyFill="1" applyBorder="1" applyAlignment="1">
      <alignment horizontal="right"/>
    </xf>
    <xf numFmtId="0" fontId="62" fillId="0" borderId="0" xfId="0" applyFont="1"/>
    <xf numFmtId="169" fontId="56" fillId="0" borderId="0" xfId="1" quotePrefix="1" applyNumberFormat="1" applyFont="1" applyFill="1" applyBorder="1" applyAlignment="1">
      <alignment horizontal="right"/>
    </xf>
    <xf numFmtId="164" fontId="56" fillId="0" borderId="0" xfId="1" applyNumberFormat="1" applyFont="1" applyFill="1" applyBorder="1" applyAlignment="1">
      <alignment horizontal="center"/>
    </xf>
    <xf numFmtId="164" fontId="56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56" fillId="0" borderId="0" xfId="1" applyNumberFormat="1" applyFont="1" applyFill="1"/>
    <xf numFmtId="14" fontId="56" fillId="0" borderId="0" xfId="0" applyNumberFormat="1" applyFont="1" applyAlignment="1">
      <alignment horizontal="left"/>
    </xf>
    <xf numFmtId="3" fontId="56" fillId="0" borderId="0" xfId="1" applyNumberFormat="1" applyFont="1" applyFill="1" applyAlignment="1">
      <alignment horizontal="right" indent="1"/>
    </xf>
    <xf numFmtId="3" fontId="56" fillId="0" borderId="0" xfId="1" applyNumberFormat="1" applyFont="1" applyFill="1" applyAlignment="1">
      <alignment horizontal="center"/>
    </xf>
    <xf numFmtId="169" fontId="56" fillId="0" borderId="0" xfId="1" applyNumberFormat="1" applyFont="1" applyFill="1" applyBorder="1" applyAlignment="1">
      <alignment horizontal="right" indent="2"/>
    </xf>
    <xf numFmtId="0" fontId="58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56" fillId="0" borderId="1" xfId="1" applyNumberFormat="1" applyFont="1" applyFill="1" applyBorder="1" applyAlignment="1">
      <alignment horizontal="right"/>
    </xf>
    <xf numFmtId="16" fontId="56" fillId="0" borderId="0" xfId="0" applyNumberFormat="1" applyFont="1"/>
    <xf numFmtId="0" fontId="57" fillId="0" borderId="0" xfId="0" applyFont="1" applyAlignment="1">
      <alignment horizontal="center"/>
    </xf>
    <xf numFmtId="2" fontId="56" fillId="0" borderId="0" xfId="0" applyNumberFormat="1" applyFont="1" applyAlignment="1">
      <alignment horizontal="right" indent="2"/>
    </xf>
    <xf numFmtId="43" fontId="56" fillId="0" borderId="0" xfId="1" quotePrefix="1" applyFont="1" applyFill="1" applyBorder="1" applyAlignment="1">
      <alignment horizontal="center"/>
    </xf>
    <xf numFmtId="166" fontId="56" fillId="0" borderId="0" xfId="1" quotePrefix="1" applyNumberFormat="1" applyFont="1" applyFill="1" applyBorder="1" applyAlignment="1">
      <alignment horizontal="center"/>
    </xf>
    <xf numFmtId="43" fontId="56" fillId="0" borderId="0" xfId="1" applyFont="1" applyFill="1" applyBorder="1" applyAlignment="1">
      <alignment horizontal="center"/>
    </xf>
    <xf numFmtId="0" fontId="62" fillId="0" borderId="0" xfId="0" quotePrefix="1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left" indent="1"/>
    </xf>
    <xf numFmtId="0" fontId="56" fillId="0" borderId="3" xfId="0" applyFont="1" applyBorder="1" applyAlignment="1">
      <alignment horizontal="center"/>
    </xf>
    <xf numFmtId="0" fontId="56" fillId="0" borderId="1" xfId="0" applyFont="1" applyBorder="1" applyAlignment="1">
      <alignment horizontal="left"/>
    </xf>
    <xf numFmtId="0" fontId="57" fillId="0" borderId="3" xfId="0" quotePrefix="1" applyFont="1" applyBorder="1"/>
    <xf numFmtId="0" fontId="57" fillId="0" borderId="3" xfId="0" applyFont="1" applyBorder="1"/>
    <xf numFmtId="2" fontId="56" fillId="0" borderId="0" xfId="0" applyNumberFormat="1" applyFont="1" applyAlignment="1">
      <alignment horizontal="center"/>
    </xf>
    <xf numFmtId="43" fontId="56" fillId="0" borderId="0" xfId="0" applyNumberFormat="1" applyFont="1"/>
    <xf numFmtId="0" fontId="51" fillId="0" borderId="0" xfId="0" applyFont="1"/>
    <xf numFmtId="2" fontId="0" fillId="0" borderId="0" xfId="0" applyNumberFormat="1"/>
    <xf numFmtId="165" fontId="56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60" fillId="0" borderId="0" xfId="0" applyFont="1" applyAlignment="1">
      <alignment vertical="center"/>
    </xf>
    <xf numFmtId="2" fontId="56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56" fillId="0" borderId="3" xfId="0" applyFont="1" applyBorder="1"/>
    <xf numFmtId="165" fontId="56" fillId="0" borderId="0" xfId="1" applyNumberFormat="1" applyFont="1" applyFill="1"/>
    <xf numFmtId="37" fontId="56" fillId="0" borderId="0" xfId="1" applyNumberFormat="1" applyFont="1" applyFill="1" applyBorder="1" applyAlignment="1">
      <alignment horizontal="center"/>
    </xf>
    <xf numFmtId="165" fontId="56" fillId="0" borderId="0" xfId="1" applyNumberFormat="1" applyFont="1" applyFill="1" applyBorder="1"/>
    <xf numFmtId="9" fontId="56" fillId="0" borderId="0" xfId="12" applyFont="1" applyFill="1"/>
    <xf numFmtId="0" fontId="57" fillId="0" borderId="4" xfId="0" applyFont="1" applyBorder="1" applyAlignment="1">
      <alignment horizontal="center"/>
    </xf>
    <xf numFmtId="14" fontId="56" fillId="0" borderId="0" xfId="0" applyNumberFormat="1" applyFont="1" applyAlignment="1">
      <alignment horizontal="right" inden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169" fontId="56" fillId="0" borderId="0" xfId="1" applyNumberFormat="1" applyFont="1" applyFill="1" applyAlignment="1">
      <alignment horizontal="center"/>
    </xf>
    <xf numFmtId="0" fontId="58" fillId="0" borderId="3" xfId="0" applyFont="1" applyBorder="1"/>
    <xf numFmtId="164" fontId="56" fillId="0" borderId="3" xfId="0" applyNumberFormat="1" applyFont="1" applyBorder="1"/>
    <xf numFmtId="171" fontId="0" fillId="0" borderId="0" xfId="1" applyNumberFormat="1" applyFont="1" applyFill="1" applyBorder="1"/>
    <xf numFmtId="0" fontId="47" fillId="0" borderId="0" xfId="8" applyFont="1"/>
    <xf numFmtId="0" fontId="47" fillId="0" borderId="0" xfId="0" applyFont="1"/>
    <xf numFmtId="4" fontId="65" fillId="0" borderId="0" xfId="0" applyNumberFormat="1" applyFont="1"/>
    <xf numFmtId="172" fontId="51" fillId="0" borderId="0" xfId="12" applyNumberFormat="1" applyFont="1" applyFill="1"/>
    <xf numFmtId="4" fontId="0" fillId="0" borderId="0" xfId="0" applyNumberFormat="1"/>
    <xf numFmtId="173" fontId="65" fillId="0" borderId="0" xfId="0" applyNumberFormat="1" applyFont="1"/>
    <xf numFmtId="164" fontId="56" fillId="2" borderId="0" xfId="1" applyNumberFormat="1" applyFont="1" applyFill="1" applyBorder="1" applyAlignment="1">
      <alignment horizontal="center"/>
    </xf>
    <xf numFmtId="2" fontId="64" fillId="0" borderId="0" xfId="0" applyNumberFormat="1" applyFont="1" applyAlignment="1">
      <alignment horizontal="center"/>
    </xf>
    <xf numFmtId="37" fontId="56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64" fillId="0" borderId="0" xfId="0" applyNumberFormat="1" applyFont="1" applyAlignment="1">
      <alignment horizontal="right" indent="2"/>
    </xf>
    <xf numFmtId="9" fontId="0" fillId="0" borderId="0" xfId="12" applyFont="1"/>
    <xf numFmtId="3" fontId="64" fillId="0" borderId="0" xfId="1" applyNumberFormat="1" applyFont="1" applyFill="1" applyBorder="1" applyAlignment="1">
      <alignment horizontal="right"/>
    </xf>
    <xf numFmtId="3" fontId="47" fillId="0" borderId="0" xfId="0" applyNumberFormat="1" applyFont="1"/>
    <xf numFmtId="3" fontId="56" fillId="0" borderId="0" xfId="1" quotePrefix="1" applyNumberFormat="1" applyFont="1" applyFill="1" applyBorder="1" applyAlignment="1">
      <alignment horizontal="right"/>
    </xf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56" fillId="0" borderId="0" xfId="1" applyNumberFormat="1" applyFont="1" applyAlignment="1">
      <alignment horizontal="right" indent="1"/>
    </xf>
    <xf numFmtId="167" fontId="56" fillId="0" borderId="0" xfId="0" applyNumberFormat="1" applyFont="1"/>
    <xf numFmtId="169" fontId="64" fillId="0" borderId="0" xfId="1" applyNumberFormat="1" applyFont="1" applyFill="1" applyBorder="1" applyAlignment="1">
      <alignment horizontal="right" indent="1"/>
    </xf>
    <xf numFmtId="0" fontId="68" fillId="0" borderId="0" xfId="0" applyFont="1"/>
    <xf numFmtId="169" fontId="56" fillId="0" borderId="0" xfId="1" applyNumberFormat="1" applyFont="1" applyFill="1" applyAlignment="1">
      <alignment horizontal="right" indent="1"/>
    </xf>
    <xf numFmtId="172" fontId="56" fillId="0" borderId="0" xfId="12" applyNumberFormat="1" applyFont="1" applyFill="1" applyBorder="1"/>
    <xf numFmtId="164" fontId="64" fillId="0" borderId="0" xfId="1" applyNumberFormat="1" applyFont="1"/>
    <xf numFmtId="169" fontId="56" fillId="2" borderId="0" xfId="1" applyNumberFormat="1" applyFont="1" applyFill="1" applyBorder="1" applyAlignment="1">
      <alignment horizontal="right" indent="2"/>
    </xf>
    <xf numFmtId="169" fontId="56" fillId="2" borderId="0" xfId="1" applyNumberFormat="1" applyFont="1" applyFill="1" applyBorder="1" applyAlignment="1">
      <alignment horizontal="right" indent="1"/>
    </xf>
    <xf numFmtId="169" fontId="69" fillId="0" borderId="0" xfId="1" applyNumberFormat="1" applyFont="1" applyFill="1" applyBorder="1" applyAlignment="1">
      <alignment horizontal="right"/>
    </xf>
    <xf numFmtId="169" fontId="64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56" fillId="0" borderId="3" xfId="0" applyNumberFormat="1" applyFont="1" applyBorder="1"/>
    <xf numFmtId="0" fontId="0" fillId="0" borderId="3" xfId="0" applyBorder="1"/>
    <xf numFmtId="168" fontId="56" fillId="0" borderId="3" xfId="0" applyNumberFormat="1" applyFont="1" applyBorder="1"/>
    <xf numFmtId="164" fontId="64" fillId="0" borderId="0" xfId="1" applyNumberFormat="1" applyFont="1" applyAlignment="1">
      <alignment horizontal="right"/>
    </xf>
    <xf numFmtId="164" fontId="56" fillId="0" borderId="0" xfId="1" applyNumberFormat="1" applyFont="1" applyFill="1" applyBorder="1" applyAlignment="1">
      <alignment horizontal="right" indent="1"/>
    </xf>
    <xf numFmtId="0" fontId="56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3" xfId="0" quotePrefix="1" applyFont="1" applyBorder="1" applyAlignment="1">
      <alignment horizontal="center"/>
    </xf>
    <xf numFmtId="9" fontId="0" fillId="0" borderId="0" xfId="12" applyFont="1" applyFill="1"/>
    <xf numFmtId="0" fontId="47" fillId="0" borderId="0" xfId="20"/>
    <xf numFmtId="17" fontId="47" fillId="0" borderId="0" xfId="20" applyNumberFormat="1" applyAlignment="1">
      <alignment horizontal="left"/>
    </xf>
    <xf numFmtId="1" fontId="47" fillId="0" borderId="0" xfId="20" applyNumberFormat="1"/>
    <xf numFmtId="2" fontId="68" fillId="0" borderId="0" xfId="0" applyNumberFormat="1" applyFont="1"/>
    <xf numFmtId="165" fontId="56" fillId="0" borderId="0" xfId="1" applyNumberFormat="1" applyFont="1" applyAlignment="1">
      <alignment horizontal="right" indent="2"/>
    </xf>
    <xf numFmtId="177" fontId="0" fillId="0" borderId="0" xfId="0" applyNumberFormat="1"/>
    <xf numFmtId="49" fontId="54" fillId="0" borderId="1" xfId="231" applyNumberFormat="1" applyFont="1" applyBorder="1" applyAlignment="1">
      <alignment horizontal="center"/>
    </xf>
    <xf numFmtId="0" fontId="67" fillId="0" borderId="1" xfId="82" applyFont="1" applyBorder="1" applyAlignment="1">
      <alignment horizontal="center" wrapText="1"/>
    </xf>
    <xf numFmtId="1" fontId="92" fillId="0" borderId="0" xfId="231" applyNumberFormat="1" applyFont="1"/>
    <xf numFmtId="178" fontId="0" fillId="0" borderId="0" xfId="0" applyNumberFormat="1"/>
    <xf numFmtId="179" fontId="0" fillId="0" borderId="0" xfId="0" applyNumberFormat="1"/>
    <xf numFmtId="0" fontId="67" fillId="0" borderId="1" xfId="378" applyFont="1" applyBorder="1" applyAlignment="1">
      <alignment horizontal="left" wrapText="1"/>
    </xf>
    <xf numFmtId="0" fontId="66" fillId="0" borderId="0" xfId="378" applyFont="1" applyAlignment="1">
      <alignment horizontal="left" wrapText="1"/>
    </xf>
    <xf numFmtId="1" fontId="66" fillId="0" borderId="0" xfId="33" applyNumberFormat="1" applyFont="1" applyFill="1" applyAlignment="1">
      <alignment horizontal="right" vertical="center"/>
    </xf>
    <xf numFmtId="17" fontId="47" fillId="0" borderId="0" xfId="20" quotePrefix="1" applyNumberFormat="1" applyAlignment="1">
      <alignment horizontal="left"/>
    </xf>
    <xf numFmtId="0" fontId="47" fillId="0" borderId="0" xfId="20" applyAlignment="1">
      <alignment horizontal="left"/>
    </xf>
    <xf numFmtId="41" fontId="47" fillId="0" borderId="0" xfId="20" applyNumberFormat="1" applyAlignment="1">
      <alignment horizontal="left"/>
    </xf>
    <xf numFmtId="167" fontId="66" fillId="0" borderId="0" xfId="33" applyNumberFormat="1" applyFont="1" applyFill="1" applyAlignment="1">
      <alignment horizontal="right" vertical="center"/>
    </xf>
    <xf numFmtId="2" fontId="66" fillId="0" borderId="0" xfId="33" applyNumberFormat="1" applyFont="1" applyFill="1" applyAlignment="1">
      <alignment horizontal="right" vertical="center"/>
    </xf>
    <xf numFmtId="167" fontId="66" fillId="0" borderId="0" xfId="378" applyNumberFormat="1" applyFont="1" applyAlignment="1">
      <alignment horizontal="right"/>
    </xf>
    <xf numFmtId="167" fontId="47" fillId="0" borderId="0" xfId="20" applyNumberFormat="1" applyAlignment="1">
      <alignment horizontal="right"/>
    </xf>
    <xf numFmtId="0" fontId="47" fillId="0" borderId="0" xfId="20" quotePrefix="1"/>
    <xf numFmtId="167" fontId="47" fillId="0" borderId="0" xfId="20" applyNumberFormat="1"/>
    <xf numFmtId="3" fontId="0" fillId="0" borderId="0" xfId="0" applyNumberFormat="1"/>
    <xf numFmtId="172" fontId="47" fillId="0" borderId="0" xfId="12" applyNumberFormat="1"/>
    <xf numFmtId="167" fontId="0" fillId="0" borderId="0" xfId="20" applyNumberFormat="1" applyFont="1"/>
    <xf numFmtId="170" fontId="47" fillId="0" borderId="0" xfId="20" applyNumberFormat="1"/>
    <xf numFmtId="165" fontId="0" fillId="0" borderId="0" xfId="0" applyNumberFormat="1"/>
    <xf numFmtId="41" fontId="66" fillId="0" borderId="0" xfId="33" applyNumberFormat="1" applyFont="1" applyAlignment="1">
      <alignment horizontal="left" vertical="center"/>
    </xf>
    <xf numFmtId="164" fontId="0" fillId="0" borderId="0" xfId="1" applyNumberFormat="1" applyFont="1"/>
    <xf numFmtId="164" fontId="92" fillId="0" borderId="0" xfId="1" applyNumberFormat="1" applyFont="1"/>
    <xf numFmtId="177" fontId="47" fillId="0" borderId="0" xfId="0" applyNumberFormat="1" applyFont="1"/>
    <xf numFmtId="164" fontId="56" fillId="0" borderId="0" xfId="1" applyNumberFormat="1" applyFont="1" applyAlignment="1">
      <alignment horizontal="right" indent="2"/>
    </xf>
    <xf numFmtId="164" fontId="93" fillId="0" borderId="0" xfId="0" applyNumberFormat="1" applyFont="1"/>
    <xf numFmtId="0" fontId="54" fillId="0" borderId="0" xfId="20" applyFont="1"/>
    <xf numFmtId="0" fontId="54" fillId="0" borderId="1" xfId="20" applyFont="1" applyBorder="1" applyAlignment="1">
      <alignment horizontal="center" wrapText="1"/>
    </xf>
    <xf numFmtId="0" fontId="47" fillId="0" borderId="1" xfId="20" applyBorder="1" applyAlignment="1">
      <alignment horizontal="center"/>
    </xf>
    <xf numFmtId="177" fontId="47" fillId="0" borderId="0" xfId="20" quotePrefix="1" applyNumberFormat="1"/>
    <xf numFmtId="3" fontId="2" fillId="0" borderId="0" xfId="20" applyNumberFormat="1" applyFont="1"/>
    <xf numFmtId="3" fontId="66" fillId="0" borderId="0" xfId="20" applyNumberFormat="1" applyFont="1"/>
    <xf numFmtId="4" fontId="66" fillId="0" borderId="0" xfId="20" applyNumberFormat="1" applyFont="1"/>
    <xf numFmtId="0" fontId="66" fillId="2" borderId="44" xfId="0" applyFont="1" applyFill="1" applyBorder="1"/>
    <xf numFmtId="0" fontId="47" fillId="2" borderId="44" xfId="0" applyFont="1" applyFill="1" applyBorder="1"/>
    <xf numFmtId="0" fontId="47" fillId="2" borderId="0" xfId="0" applyFont="1" applyFill="1"/>
    <xf numFmtId="0" fontId="0" fillId="0" borderId="0" xfId="20" applyFont="1"/>
    <xf numFmtId="0" fontId="54" fillId="0" borderId="1" xfId="20" applyFont="1" applyBorder="1" applyAlignment="1">
      <alignment horizontal="left"/>
    </xf>
    <xf numFmtId="0" fontId="0" fillId="0" borderId="1" xfId="20" applyFont="1" applyBorder="1" applyAlignment="1">
      <alignment horizontal="centerContinuous"/>
    </xf>
    <xf numFmtId="0" fontId="66" fillId="0" borderId="0" xfId="20" applyFont="1" applyAlignment="1">
      <alignment horizontal="right"/>
    </xf>
    <xf numFmtId="1" fontId="0" fillId="0" borderId="0" xfId="20" applyNumberFormat="1" applyFont="1"/>
    <xf numFmtId="0" fontId="68" fillId="0" borderId="0" xfId="20" applyFont="1" applyAlignment="1">
      <alignment horizontal="right"/>
    </xf>
    <xf numFmtId="1" fontId="68" fillId="0" borderId="0" xfId="20" applyNumberFormat="1" applyFont="1"/>
    <xf numFmtId="167" fontId="68" fillId="0" borderId="0" xfId="20" applyNumberFormat="1" applyFont="1"/>
    <xf numFmtId="0" fontId="68" fillId="0" borderId="0" xfId="20" applyFont="1"/>
    <xf numFmtId="177" fontId="47" fillId="0" borderId="0" xfId="20" applyNumberFormat="1"/>
    <xf numFmtId="0" fontId="47" fillId="0" borderId="45" xfId="20" applyBorder="1"/>
    <xf numFmtId="0" fontId="54" fillId="0" borderId="2" xfId="20" applyFont="1" applyBorder="1" applyAlignment="1">
      <alignment horizontal="centerContinuous"/>
    </xf>
    <xf numFmtId="0" fontId="54" fillId="0" borderId="5" xfId="20" applyFont="1" applyBorder="1" applyAlignment="1">
      <alignment horizontal="left" vertical="center"/>
    </xf>
    <xf numFmtId="0" fontId="54" fillId="0" borderId="1" xfId="20" applyFont="1" applyBorder="1" applyAlignment="1">
      <alignment horizontal="centerContinuous"/>
    </xf>
    <xf numFmtId="0" fontId="67" fillId="0" borderId="1" xfId="382" applyFont="1" applyBorder="1" applyAlignment="1">
      <alignment horizontal="center" wrapText="1"/>
    </xf>
    <xf numFmtId="0" fontId="67" fillId="0" borderId="1" xfId="383" applyFont="1" applyBorder="1" applyAlignment="1">
      <alignment horizontal="left" wrapText="1"/>
    </xf>
    <xf numFmtId="0" fontId="54" fillId="0" borderId="5" xfId="20" applyFont="1" applyBorder="1" applyAlignment="1">
      <alignment horizontal="left" wrapText="1"/>
    </xf>
    <xf numFmtId="0" fontId="54" fillId="0" borderId="2" xfId="20" applyFont="1" applyBorder="1" applyAlignment="1">
      <alignment horizontal="left" wrapText="1"/>
    </xf>
    <xf numFmtId="0" fontId="54" fillId="0" borderId="6" xfId="20" applyFont="1" applyBorder="1" applyAlignment="1">
      <alignment horizontal="left" wrapText="1"/>
    </xf>
    <xf numFmtId="0" fontId="47" fillId="0" borderId="46" xfId="20" quotePrefix="1" applyBorder="1" applyAlignment="1">
      <alignment horizontal="left" vertical="center"/>
    </xf>
    <xf numFmtId="169" fontId="47" fillId="0" borderId="0" xfId="20" applyNumberFormat="1"/>
    <xf numFmtId="3" fontId="66" fillId="0" borderId="47" xfId="12" applyNumberFormat="1" applyFont="1" applyBorder="1"/>
    <xf numFmtId="3" fontId="47" fillId="0" borderId="0" xfId="12" applyNumberFormat="1" applyFont="1" applyBorder="1"/>
    <xf numFmtId="3" fontId="47" fillId="0" borderId="48" xfId="12" applyNumberFormat="1" applyFont="1" applyBorder="1"/>
    <xf numFmtId="3" fontId="47" fillId="0" borderId="0" xfId="20" applyNumberFormat="1"/>
    <xf numFmtId="0" fontId="47" fillId="0" borderId="49" xfId="20" quotePrefix="1" applyBorder="1" applyAlignment="1">
      <alignment horizontal="left" vertical="center"/>
    </xf>
    <xf numFmtId="3" fontId="66" fillId="0" borderId="50" xfId="12" applyNumberFormat="1" applyFont="1" applyBorder="1"/>
    <xf numFmtId="3" fontId="47" fillId="0" borderId="1" xfId="12" applyNumberFormat="1" applyFont="1" applyBorder="1"/>
    <xf numFmtId="3" fontId="47" fillId="0" borderId="51" xfId="12" applyNumberFormat="1" applyFont="1" applyBorder="1"/>
    <xf numFmtId="0" fontId="47" fillId="0" borderId="0" xfId="20" applyAlignment="1">
      <alignment vertical="center"/>
    </xf>
    <xf numFmtId="9" fontId="47" fillId="0" borderId="0" xfId="12"/>
    <xf numFmtId="0" fontId="54" fillId="0" borderId="1" xfId="20" applyFont="1" applyBorder="1" applyAlignment="1">
      <alignment horizontal="center"/>
    </xf>
    <xf numFmtId="0" fontId="67" fillId="0" borderId="1" xfId="20" applyFont="1" applyBorder="1" applyAlignment="1">
      <alignment horizontal="center"/>
    </xf>
    <xf numFmtId="165" fontId="0" fillId="0" borderId="0" xfId="1" applyNumberFormat="1" applyFont="1"/>
    <xf numFmtId="0" fontId="70" fillId="0" borderId="0" xfId="0" applyFont="1"/>
    <xf numFmtId="165" fontId="0" fillId="0" borderId="0" xfId="1" applyNumberFormat="1" applyFont="1" applyFill="1"/>
    <xf numFmtId="0" fontId="64" fillId="0" borderId="0" xfId="0" applyFont="1"/>
    <xf numFmtId="165" fontId="64" fillId="0" borderId="0" xfId="1" applyNumberFormat="1" applyFont="1" applyFill="1"/>
    <xf numFmtId="165" fontId="64" fillId="0" borderId="43" xfId="1" applyNumberFormat="1" applyFont="1" applyFill="1" applyBorder="1"/>
    <xf numFmtId="43" fontId="56" fillId="0" borderId="0" xfId="1" applyFont="1"/>
    <xf numFmtId="0" fontId="47" fillId="0" borderId="0" xfId="20" applyAlignment="1">
      <alignment horizontal="right"/>
    </xf>
    <xf numFmtId="0" fontId="54" fillId="0" borderId="1" xfId="20" applyFont="1" applyBorder="1" applyAlignment="1">
      <alignment wrapText="1"/>
    </xf>
    <xf numFmtId="0" fontId="54" fillId="0" borderId="3" xfId="20" applyFont="1" applyBorder="1" applyAlignment="1">
      <alignment horizontal="centerContinuous"/>
    </xf>
    <xf numFmtId="0" fontId="47" fillId="0" borderId="0" xfId="20" quotePrefix="1" applyAlignment="1">
      <alignment horizontal="left" vertical="center"/>
    </xf>
    <xf numFmtId="165" fontId="47" fillId="0" borderId="0" xfId="1" applyNumberFormat="1" applyFont="1" applyBorder="1"/>
    <xf numFmtId="0" fontId="54" fillId="0" borderId="1" xfId="20" applyFont="1" applyBorder="1" applyAlignment="1">
      <alignment horizontal="left" wrapText="1"/>
    </xf>
    <xf numFmtId="0" fontId="54" fillId="0" borderId="1" xfId="0" applyFont="1" applyBorder="1" applyAlignment="1">
      <alignment wrapText="1"/>
    </xf>
    <xf numFmtId="0" fontId="54" fillId="0" borderId="1" xfId="0" applyFont="1" applyBorder="1"/>
    <xf numFmtId="41" fontId="66" fillId="0" borderId="0" xfId="33" applyNumberFormat="1" applyFont="1" applyAlignment="1">
      <alignment horizontal="center" vertical="center" wrapText="1"/>
    </xf>
    <xf numFmtId="41" fontId="67" fillId="0" borderId="0" xfId="33" applyNumberFormat="1" applyFont="1" applyAlignment="1">
      <alignment horizontal="left" vertical="center"/>
    </xf>
    <xf numFmtId="41" fontId="67" fillId="0" borderId="1" xfId="33" applyNumberFormat="1" applyFont="1" applyBorder="1" applyAlignment="1">
      <alignment horizontal="center" vertical="center"/>
    </xf>
    <xf numFmtId="13" fontId="67" fillId="0" borderId="1" xfId="33" quotePrefix="1" applyNumberFormat="1" applyFont="1" applyBorder="1" applyAlignment="1">
      <alignment horizontal="center" vertical="center"/>
    </xf>
    <xf numFmtId="0" fontId="54" fillId="0" borderId="1" xfId="20" quotePrefix="1" applyFont="1" applyBorder="1"/>
    <xf numFmtId="3" fontId="1" fillId="0" borderId="0" xfId="20" applyNumberFormat="1" applyFont="1"/>
    <xf numFmtId="169" fontId="1" fillId="0" borderId="0" xfId="20" applyNumberFormat="1" applyFont="1"/>
    <xf numFmtId="173" fontId="1" fillId="0" borderId="0" xfId="20" applyNumberFormat="1" applyFont="1"/>
    <xf numFmtId="167" fontId="56" fillId="0" borderId="0" xfId="0" applyNumberFormat="1" applyFont="1" applyAlignment="1">
      <alignment horizontal="center"/>
    </xf>
    <xf numFmtId="165" fontId="56" fillId="0" borderId="0" xfId="1" applyNumberFormat="1" applyFont="1" applyFill="1" applyAlignment="1">
      <alignment horizontal="left"/>
    </xf>
    <xf numFmtId="165" fontId="56" fillId="0" borderId="0" xfId="1" applyNumberFormat="1" applyFont="1" applyFill="1" applyAlignment="1">
      <alignment horizontal="center"/>
    </xf>
    <xf numFmtId="3" fontId="56" fillId="0" borderId="0" xfId="1" applyNumberFormat="1" applyFont="1" applyFill="1" applyBorder="1" applyAlignment="1">
      <alignment horizontal="right" indent="1"/>
    </xf>
    <xf numFmtId="0" fontId="66" fillId="0" borderId="0" xfId="382" quotePrefix="1" applyFont="1" applyAlignment="1">
      <alignment horizontal="center" wrapText="1"/>
    </xf>
    <xf numFmtId="37" fontId="118" fillId="0" borderId="0" xfId="19" applyNumberFormat="1" applyFont="1"/>
    <xf numFmtId="0" fontId="66" fillId="0" borderId="0" xfId="382" quotePrefix="1" applyFont="1" applyAlignment="1">
      <alignment horizontal="center"/>
    </xf>
    <xf numFmtId="0" fontId="66" fillId="0" borderId="0" xfId="47" quotePrefix="1" applyFont="1" applyAlignment="1">
      <alignment horizontal="center"/>
    </xf>
    <xf numFmtId="0" fontId="54" fillId="0" borderId="0" xfId="20" applyFont="1" applyAlignment="1">
      <alignment horizontal="center"/>
    </xf>
    <xf numFmtId="0" fontId="67" fillId="0" borderId="0" xfId="20" applyFont="1" applyAlignment="1">
      <alignment horizontal="center"/>
    </xf>
    <xf numFmtId="0" fontId="67" fillId="0" borderId="1" xfId="383" applyFont="1" applyBorder="1"/>
    <xf numFmtId="165" fontId="64" fillId="0" borderId="0" xfId="1" applyNumberFormat="1" applyFont="1" applyFill="1" applyAlignment="1">
      <alignment horizontal="center"/>
    </xf>
    <xf numFmtId="3" fontId="56" fillId="0" borderId="0" xfId="1" applyNumberFormat="1" applyFont="1" applyFill="1" applyAlignment="1">
      <alignment horizontal="right" indent="2"/>
    </xf>
    <xf numFmtId="3" fontId="65" fillId="0" borderId="0" xfId="0" applyNumberFormat="1" applyFont="1"/>
    <xf numFmtId="173" fontId="0" fillId="0" borderId="0" xfId="0" applyNumberFormat="1"/>
    <xf numFmtId="3" fontId="64" fillId="0" borderId="0" xfId="1" applyNumberFormat="1" applyFont="1" applyFill="1" applyAlignment="1">
      <alignment horizontal="right" indent="1"/>
    </xf>
    <xf numFmtId="172" fontId="0" fillId="0" borderId="0" xfId="12" applyNumberFormat="1" applyFont="1" applyFill="1"/>
    <xf numFmtId="10" fontId="0" fillId="0" borderId="0" xfId="12" applyNumberFormat="1" applyFont="1" applyFill="1"/>
    <xf numFmtId="3" fontId="56" fillId="0" borderId="0" xfId="1" applyNumberFormat="1" applyFont="1" applyFill="1" applyAlignment="1">
      <alignment horizontal="right"/>
    </xf>
    <xf numFmtId="37" fontId="56" fillId="0" borderId="0" xfId="1" applyNumberFormat="1" applyFont="1" applyFill="1" applyBorder="1" applyAlignment="1">
      <alignment horizontal="right" indent="2"/>
    </xf>
    <xf numFmtId="37" fontId="56" fillId="0" borderId="0" xfId="1" applyNumberFormat="1" applyFont="1" applyFill="1" applyBorder="1" applyAlignment="1">
      <alignment horizontal="right" indent="1"/>
    </xf>
    <xf numFmtId="37" fontId="56" fillId="0" borderId="0" xfId="1" applyNumberFormat="1" applyFont="1" applyFill="1" applyAlignment="1">
      <alignment horizontal="center"/>
    </xf>
    <xf numFmtId="37" fontId="56" fillId="0" borderId="0" xfId="0" applyNumberFormat="1" applyFont="1"/>
    <xf numFmtId="1" fontId="56" fillId="0" borderId="0" xfId="0" applyNumberFormat="1" applyFont="1" applyAlignment="1">
      <alignment horizontal="center"/>
    </xf>
    <xf numFmtId="170" fontId="56" fillId="0" borderId="0" xfId="0" applyNumberFormat="1" applyFont="1"/>
    <xf numFmtId="43" fontId="47" fillId="0" borderId="0" xfId="1"/>
    <xf numFmtId="165" fontId="47" fillId="0" borderId="0" xfId="1" applyNumberFormat="1"/>
    <xf numFmtId="165" fontId="47" fillId="0" borderId="0" xfId="1" applyNumberFormat="1" applyAlignment="1">
      <alignment horizontal="left"/>
    </xf>
    <xf numFmtId="43" fontId="0" fillId="0" borderId="0" xfId="1" applyFont="1"/>
    <xf numFmtId="169" fontId="0" fillId="0" borderId="0" xfId="20" applyNumberFormat="1" applyFont="1"/>
    <xf numFmtId="1" fontId="47" fillId="0" borderId="0" xfId="0" applyNumberFormat="1" applyFont="1"/>
    <xf numFmtId="0" fontId="54" fillId="0" borderId="52" xfId="20" applyFont="1" applyBorder="1" applyAlignment="1">
      <alignment horizontal="centerContinuous"/>
    </xf>
    <xf numFmtId="0" fontId="67" fillId="0" borderId="1" xfId="383" applyFont="1" applyBorder="1" applyAlignment="1">
      <alignment horizontal="left"/>
    </xf>
    <xf numFmtId="2" fontId="0" fillId="0" borderId="0" xfId="20" applyNumberFormat="1" applyFont="1"/>
    <xf numFmtId="178" fontId="0" fillId="0" borderId="0" xfId="20" applyNumberFormat="1" applyFont="1"/>
    <xf numFmtId="37" fontId="56" fillId="0" borderId="1" xfId="1" applyNumberFormat="1" applyFont="1" applyFill="1" applyBorder="1" applyAlignment="1">
      <alignment horizontal="center"/>
    </xf>
    <xf numFmtId="37" fontId="56" fillId="0" borderId="1" xfId="1" applyNumberFormat="1" applyFont="1" applyFill="1" applyBorder="1" applyAlignment="1">
      <alignment horizontal="right" indent="2"/>
    </xf>
    <xf numFmtId="165" fontId="56" fillId="0" borderId="1" xfId="1" applyNumberFormat="1" applyFont="1" applyFill="1" applyBorder="1"/>
    <xf numFmtId="37" fontId="56" fillId="0" borderId="1" xfId="1" applyNumberFormat="1" applyFont="1" applyFill="1" applyBorder="1" applyAlignment="1">
      <alignment horizontal="right" indent="1"/>
    </xf>
    <xf numFmtId="1" fontId="56" fillId="0" borderId="1" xfId="0" applyNumberFormat="1" applyFont="1" applyBorder="1" applyAlignment="1">
      <alignment horizontal="center"/>
    </xf>
    <xf numFmtId="180" fontId="56" fillId="0" borderId="1" xfId="1" applyNumberFormat="1" applyFont="1" applyFill="1" applyBorder="1" applyAlignment="1">
      <alignment horizontal="center"/>
    </xf>
    <xf numFmtId="3" fontId="56" fillId="0" borderId="0" xfId="1" applyNumberFormat="1" applyFont="1" applyAlignment="1">
      <alignment horizontal="right" indent="1"/>
    </xf>
    <xf numFmtId="3" fontId="68" fillId="0" borderId="0" xfId="0" applyNumberFormat="1" applyFont="1"/>
    <xf numFmtId="49" fontId="54" fillId="0" borderId="1" xfId="231" applyNumberFormat="1" applyFont="1" applyBorder="1" applyAlignment="1">
      <alignment horizontal="center" wrapText="1"/>
    </xf>
    <xf numFmtId="3" fontId="47" fillId="0" borderId="49" xfId="12" applyNumberFormat="1" applyFont="1" applyBorder="1"/>
    <xf numFmtId="9" fontId="47" fillId="0" borderId="0" xfId="12" applyFont="1"/>
    <xf numFmtId="43" fontId="47" fillId="0" borderId="0" xfId="20" applyNumberFormat="1"/>
    <xf numFmtId="167" fontId="47" fillId="0" borderId="0" xfId="12" applyNumberFormat="1"/>
    <xf numFmtId="0" fontId="56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2" xfId="0" quotePrefix="1" applyFont="1" applyBorder="1" applyAlignment="1">
      <alignment horizontal="center"/>
    </xf>
    <xf numFmtId="0" fontId="57" fillId="0" borderId="5" xfId="0" quotePrefix="1" applyFont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49" fillId="2" borderId="0" xfId="0" applyFont="1" applyFill="1" applyAlignment="1">
      <alignment horizontal="left" vertical="top"/>
    </xf>
    <xf numFmtId="0" fontId="116" fillId="2" borderId="0" xfId="0" applyFont="1" applyFill="1" applyAlignment="1">
      <alignment horizontal="left" vertical="top" wrapText="1" readingOrder="1"/>
    </xf>
    <xf numFmtId="0" fontId="47" fillId="2" borderId="3" xfId="0" applyFont="1" applyFill="1" applyBorder="1" applyAlignment="1">
      <alignment horizontal="left" vertical="top" wrapText="1"/>
    </xf>
    <xf numFmtId="0" fontId="47" fillId="2" borderId="44" xfId="0" applyFont="1" applyFill="1" applyBorder="1" applyAlignment="1">
      <alignment horizontal="left" vertical="top" wrapText="1"/>
    </xf>
  </cellXfs>
  <cellStyles count="384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3" xfId="243" xr:uid="{DFAACE0A-DDD2-4424-B740-BFF9BF44F6DE}"/>
    <cellStyle name="20% - Accent1 2 3 2" xfId="356" xr:uid="{89AF0E59-C980-4D73-AD5F-E64685BF5A39}"/>
    <cellStyle name="20% - Accent1 2 4" xfId="311" xr:uid="{83F36799-25DE-43C1-8B40-C38E43B06862}"/>
    <cellStyle name="20% - Accent1 3" xfId="176" xr:uid="{32B0355E-6EDE-4BFF-8288-D97DAF58BA3D}"/>
    <cellStyle name="20% - Accent1 3 2" xfId="323" xr:uid="{8B8A3324-DDA2-4DDC-A40B-277C58DF2E59}"/>
    <cellStyle name="20% - Accent1 4" xfId="252" xr:uid="{7CEC33F6-0A54-4986-816D-B5CD86F3443E}"/>
    <cellStyle name="20% - Accent1 5" xfId="298" xr:uid="{81C6ED3D-ADA8-4DD1-AB90-65CBC92DDD4E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3" xfId="244" xr:uid="{50C5342E-7F4E-4DA0-8BB2-B9DC64C75676}"/>
    <cellStyle name="20% - Accent2 2 3 2" xfId="357" xr:uid="{A9E457CE-E606-46C1-BAD6-9F04036F9737}"/>
    <cellStyle name="20% - Accent2 2 4" xfId="312" xr:uid="{A2CC103D-9803-49B7-AFE1-C11F6B1DCEA6}"/>
    <cellStyle name="20% - Accent2 3" xfId="178" xr:uid="{6C171EA5-10E1-4380-B85D-BD9AB947C93B}"/>
    <cellStyle name="20% - Accent2 3 2" xfId="325" xr:uid="{8D668A50-5F39-4645-A90D-54BF2D4958AE}"/>
    <cellStyle name="20% - Accent2 4" xfId="253" xr:uid="{237A4AE0-05DB-4BBC-9FC6-21F8CB9985F9}"/>
    <cellStyle name="20% - Accent2 5" xfId="300" xr:uid="{C5ABCD5F-0592-416F-9073-4C31AB0B7D76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3" xfId="245" xr:uid="{2125FD0B-95F0-4249-A4C0-85785EC5E189}"/>
    <cellStyle name="20% - Accent3 2 3 2" xfId="358" xr:uid="{A7994EDF-6D4F-4DD2-AA80-E7ECD9EC5D2A}"/>
    <cellStyle name="20% - Accent3 2 4" xfId="313" xr:uid="{A392E008-3993-4913-9A74-2289F3F558F7}"/>
    <cellStyle name="20% - Accent3 3" xfId="180" xr:uid="{AE82C847-78D6-4B97-8441-AA51646614B2}"/>
    <cellStyle name="20% - Accent3 3 2" xfId="327" xr:uid="{E4842C73-CF9A-46A7-A8D4-C720BAFECC2A}"/>
    <cellStyle name="20% - Accent3 4" xfId="254" xr:uid="{40569062-D533-4274-94AE-C7B495BBBAF4}"/>
    <cellStyle name="20% - Accent3 5" xfId="302" xr:uid="{75FC9417-6D6F-4BEC-BBB5-1652C952A4F2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3" xfId="246" xr:uid="{838D636A-4D49-422F-90B8-C14A3182ECA3}"/>
    <cellStyle name="20% - Accent4 2 3 2" xfId="359" xr:uid="{2D26635D-7002-48A3-80B5-01782ECEA560}"/>
    <cellStyle name="20% - Accent4 2 4" xfId="314" xr:uid="{413645D3-3617-43F7-8ECE-552A73C745C5}"/>
    <cellStyle name="20% - Accent4 3" xfId="182" xr:uid="{77FDE77B-07DD-4466-9C33-45F5E347F898}"/>
    <cellStyle name="20% - Accent4 3 2" xfId="329" xr:uid="{930BA819-24FD-4A10-BCCB-54EEAB1CF8E2}"/>
    <cellStyle name="20% - Accent4 4" xfId="255" xr:uid="{334DB917-1D99-4C5B-BA46-F86B4E671325}"/>
    <cellStyle name="20% - Accent4 5" xfId="304" xr:uid="{2A33F46A-D1F4-4B8C-A158-560DBF1B8215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3" xfId="236" xr:uid="{40BC7363-BC63-477D-A10D-0F2E3F55AA99}"/>
    <cellStyle name="20% - Accent5 3 2" xfId="350" xr:uid="{8732B83C-2480-4354-8CF6-248EE2B9ADCC}"/>
    <cellStyle name="20% - Accent5 4" xfId="256" xr:uid="{51945EF0-DD1C-4DB0-B69C-82333019E54F}"/>
    <cellStyle name="20% - Accent5 5" xfId="306" xr:uid="{546C1E55-CAAA-4E78-BCC7-72F62F6CC03E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3" xfId="238" xr:uid="{7DBFE8B8-91F0-4793-ABE2-D608172D3176}"/>
    <cellStyle name="20% - Accent6 3 2" xfId="352" xr:uid="{A0B804D4-E275-4465-9F36-8E5FDA8D4B68}"/>
    <cellStyle name="20% - Accent6 4" xfId="257" xr:uid="{B7EE85F8-3FF2-474C-BBAE-44ACD6D57C35}"/>
    <cellStyle name="20% - Accent6 5" xfId="308" xr:uid="{68BBBA63-83F4-44A7-B274-B556A530E939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3" xfId="233" xr:uid="{8C33CEFE-CC5C-41A1-839B-2AAF91F0C1D8}"/>
    <cellStyle name="40% - Accent1 3 2" xfId="347" xr:uid="{5ED618F1-0BEC-46B3-A47C-4FA55A325B90}"/>
    <cellStyle name="40% - Accent1 4" xfId="258" xr:uid="{8B777513-D1B3-4C8B-8CE8-8107E98F2BC1}"/>
    <cellStyle name="40% - Accent1 5" xfId="299" xr:uid="{7827FBB3-A345-4F9A-88F9-27F0AB5A21E0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3" xfId="234" xr:uid="{B4CFA444-0118-42F0-9897-949B6223DBF9}"/>
    <cellStyle name="40% - Accent2 3 2" xfId="348" xr:uid="{F3A1CBFD-6F73-46AD-AB1A-D32E4FD21EA8}"/>
    <cellStyle name="40% - Accent2 4" xfId="259" xr:uid="{549F399D-1062-428D-9AC8-FBC8557D9F48}"/>
    <cellStyle name="40% - Accent2 5" xfId="301" xr:uid="{67B23B7D-1D29-42DA-970E-0A43CCBCC567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3" xfId="247" xr:uid="{A2DEB99B-97E6-4EF4-9FD3-29FEFC420526}"/>
    <cellStyle name="40% - Accent3 2 3 2" xfId="360" xr:uid="{02EDD4DA-104B-4770-ABD1-B23BB75CFE57}"/>
    <cellStyle name="40% - Accent3 2 4" xfId="315" xr:uid="{50109117-B1D7-416F-85D2-1905AC7D5D35}"/>
    <cellStyle name="40% - Accent3 3" xfId="188" xr:uid="{9C3CF690-7980-4ECA-8F06-921AB199361D}"/>
    <cellStyle name="40% - Accent3 3 2" xfId="335" xr:uid="{CEBB930C-DF9D-4C47-895D-3C9ED9C9EAA8}"/>
    <cellStyle name="40% - Accent3 4" xfId="260" xr:uid="{80304610-2D8E-4B30-B34D-D8A71CE05920}"/>
    <cellStyle name="40% - Accent3 5" xfId="303" xr:uid="{199ED734-CD86-4C36-AE44-313B54D2560E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3" xfId="235" xr:uid="{22417DB5-E2A1-4D00-B201-B53B427D4D20}"/>
    <cellStyle name="40% - Accent4 3 2" xfId="349" xr:uid="{9A1C5949-45A2-4555-9F6D-FB14F3F248CA}"/>
    <cellStyle name="40% - Accent4 4" xfId="261" xr:uid="{4C8A0805-8AA3-4DB1-98CB-F31F9359EDB0}"/>
    <cellStyle name="40% - Accent4 5" xfId="305" xr:uid="{4B251191-154A-40E7-A5B0-F5FE257BE24F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3" xfId="237" xr:uid="{F38E99A5-6F6D-4DC6-BAEE-A13B30749A74}"/>
    <cellStyle name="40% - Accent5 3 2" xfId="351" xr:uid="{48002B42-4D23-4F44-847A-76BC1AF48B43}"/>
    <cellStyle name="40% - Accent5 4" xfId="262" xr:uid="{B47CD729-C3F7-4D30-A7E7-18FCFB9384B7}"/>
    <cellStyle name="40% - Accent5 5" xfId="307" xr:uid="{BF2053DF-5B31-4B9D-B385-CCAD6C7690C1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3" xfId="239" xr:uid="{88061550-1FA6-4BD2-B11A-00A693901AF5}"/>
    <cellStyle name="40% - Accent6 3 2" xfId="353" xr:uid="{152B9510-68A0-49D7-8915-5D25E0B9BF37}"/>
    <cellStyle name="40% - Accent6 4" xfId="263" xr:uid="{10120615-3E3F-4139-B9C5-3692E7333EF1}"/>
    <cellStyle name="40% - Accent6 5" xfId="309" xr:uid="{85E09836-C196-48D4-9646-6C568398DFDF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3" xfId="241" xr:uid="{09364125-AA71-40DB-B3C6-6BFD41F7464D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3" xfId="203" xr:uid="{89AB8884-F733-449C-AE7A-12097AC2A627}"/>
    <cellStyle name="Comma 2 3" xfId="248" xr:uid="{BA8E939A-B93A-4154-91FB-F6AF914A8C02}"/>
    <cellStyle name="Comma 2 3 2" xfId="361" xr:uid="{F1ED8589-0281-46E3-B46B-177F35A05B8D}"/>
    <cellStyle name="Comma 2 4" xfId="279" xr:uid="{3681BAD9-AD19-4234-B953-6B890ACD5432}"/>
    <cellStyle name="Comma 2 5" xfId="316" xr:uid="{0C178AA8-28C5-4254-B134-FAA54793A4FC}"/>
    <cellStyle name="Comma 2 6" xfId="154" xr:uid="{F70197A6-DA58-43B6-943A-AD1DCB6219F8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3" xfId="204" xr:uid="{64B597EF-614B-48C9-9308-DFFB65FAF00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0" xfId="378" xr:uid="{C0BDACBF-3619-4FBE-8B6C-5F7DC0F97B12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6 4 2" xfId="382" xr:uid="{E35375AA-E205-4716-B41F-9DAAC86A63D1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3" xfId="250" xr:uid="{946EAB2F-3003-438D-AECA-E36A970A2718}"/>
    <cellStyle name="Normal 6 3 2" xfId="362" xr:uid="{12BACF06-EA48-4382-91FB-563037CC3A6F}"/>
    <cellStyle name="Normal 6 4" xfId="289" xr:uid="{0EC8BBF7-2579-442B-B652-39916CBF4B7C}"/>
    <cellStyle name="Normal 6 5" xfId="317" xr:uid="{2E522AAE-3A43-4D85-9BC9-D75DF67CA993}"/>
    <cellStyle name="Normal 6 6" xfId="169" xr:uid="{808CEDD4-B41F-4D2C-982F-C9996D1BAA59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3" xfId="215" xr:uid="{6F223409-C652-4E49-AD52-D3363DDC15E9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3" xfId="251" xr:uid="{FD29B074-0975-4C84-B020-F6AFF1851528}"/>
    <cellStyle name="Note 2 3 2" xfId="363" xr:uid="{50FF0CC4-B61A-4B7C-A7A5-65EFC15AC715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5" xfId="318" xr:uid="{B3F27023-4B65-487D-85FA-119154F7A601}"/>
    <cellStyle name="Note 3" xfId="217" xr:uid="{A7C0021F-FA46-4B96-89A8-7F34D94EC6D7}"/>
    <cellStyle name="Note 3 2" xfId="344" xr:uid="{C8A3A4EC-5754-4556-B45B-E9F0EB3392A3}"/>
    <cellStyle name="Note 4" xfId="232" xr:uid="{674244FC-6EC5-411F-89FA-4B0E9038DE2A}"/>
    <cellStyle name="Note 4 2" xfId="346" xr:uid="{476131BE-25DB-416D-A65E-21EF7F48DC69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6" xfId="143" xr:uid="{76A629B7-C611-430C-B43D-08A666E8CF1D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FA6400"/>
      <color rgb="FFFFFF00"/>
      <color rgb="FFFFD966"/>
      <color rgb="FFFF9933"/>
      <color rgb="FFFFCF01"/>
      <color rgb="FFFFFF99"/>
      <color rgb="FF0000FF"/>
      <color rgb="FFFFCC66"/>
      <color rgb="FF00B050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 soybean planted acreage, by regions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220552159598252E-3"/>
          <c:y val="9.68819882275538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89401901854347E-2"/>
          <c:y val="0.21961904834278809"/>
          <c:w val="0.82949371813360118"/>
          <c:h val="0.47807769907981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rgbClr val="4F81BD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2-4BB7-B6A5-9B9EA3FD48CE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92-4BB7-B6A5-9B9EA3FD48CE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92-4BB7-B6A5-9B9EA3FD48CE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92-4BB7-B6A5-9B9EA3FD48CE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92-4BB7-B6A5-9B9EA3FD48CE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92-4BB7-B6A5-9B9EA3FD48CE}"/>
              </c:ext>
            </c:extLst>
          </c:dPt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 Corn Belt</c:v>
                </c:pt>
                <c:pt idx="2">
                  <c:v>West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Others</c:v>
                </c:pt>
              </c:strCache>
            </c:strRef>
          </c:cat>
          <c:val>
            <c:numRef>
              <c:f>'Figure 1'!$B$2:$B$7</c:f>
              <c:numCache>
                <c:formatCode>0.0</c:formatCode>
                <c:ptCount val="6"/>
                <c:pt idx="0">
                  <c:v>6.19</c:v>
                </c:pt>
                <c:pt idx="1">
                  <c:v>24.75</c:v>
                </c:pt>
                <c:pt idx="2">
                  <c:v>22.9</c:v>
                </c:pt>
                <c:pt idx="3">
                  <c:v>9.68</c:v>
                </c:pt>
                <c:pt idx="4">
                  <c:v>11.3</c:v>
                </c:pt>
                <c:pt idx="5">
                  <c:v>8.7799999999999994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92-4BB7-B6A5-9B9EA3FD48CE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 Corn Belt</c:v>
                </c:pt>
                <c:pt idx="2">
                  <c:v>West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Others</c:v>
                </c:pt>
              </c:strCache>
            </c:strRef>
          </c:cat>
          <c:val>
            <c:numRef>
              <c:f>'Figure 1'!$C$2:$C$7</c:f>
              <c:numCache>
                <c:formatCode>0.0</c:formatCode>
                <c:ptCount val="6"/>
                <c:pt idx="0">
                  <c:v>6.47</c:v>
                </c:pt>
                <c:pt idx="1">
                  <c:v>25.7</c:v>
                </c:pt>
                <c:pt idx="2">
                  <c:v>23.1</c:v>
                </c:pt>
                <c:pt idx="3">
                  <c:v>9.85</c:v>
                </c:pt>
                <c:pt idx="4">
                  <c:v>11.9</c:v>
                </c:pt>
                <c:pt idx="5">
                  <c:v>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92-4BB7-B6A5-9B9EA3FD4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21751648"/>
        <c:axId val="1821751232"/>
      </c:barChart>
      <c:catAx>
        <c:axId val="18217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Algn val="ctr"/>
        <c:lblOffset val="100"/>
        <c:noMultiLvlLbl val="0"/>
      </c:catAx>
      <c:valAx>
        <c:axId val="18217512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832786880261009"/>
          <c:y val="0.12653260571249195"/>
          <c:w val="0.29230766891709548"/>
          <c:h val="6.363166708233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spc="0"/>
            </a:pPr>
            <a:r>
              <a:rPr lang="en-US" sz="1050" b="1" i="0" baseline="0">
                <a:effectLst/>
              </a:rPr>
              <a:t>U.S. canola oil supply and domestic use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56688716962282E-2"/>
          <c:y val="0.15438967389350303"/>
          <c:w val="0.89713187959494989"/>
          <c:h val="0.61023961045965136"/>
        </c:manualLayout>
      </c:layout>
      <c:areaChart>
        <c:grouping val="stacked"/>
        <c:varyColors val="0"/>
        <c:ser>
          <c:idx val="4"/>
          <c:order val="0"/>
          <c:tx>
            <c:strRef>
              <c:f>'Figure 2'!$B$1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'Figure 2'!$A$2:$A$9</c:f>
              <c:strCache>
                <c:ptCount val="8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</c:strCache>
            </c:strRef>
          </c:cat>
          <c:val>
            <c:numRef>
              <c:f>'Figure 2'!$B$2:$B$9</c:f>
              <c:numCache>
                <c:formatCode>_(* #,##0.0_);_(* \(#,##0.0\);_(* "-"??_);_(@_)</c:formatCode>
                <c:ptCount val="8"/>
                <c:pt idx="0">
                  <c:v>1.6544919999999999</c:v>
                </c:pt>
                <c:pt idx="1">
                  <c:v>1.5314369999999999</c:v>
                </c:pt>
                <c:pt idx="2">
                  <c:v>1.810092</c:v>
                </c:pt>
                <c:pt idx="3">
                  <c:v>1.787782</c:v>
                </c:pt>
                <c:pt idx="4">
                  <c:v>1.475247</c:v>
                </c:pt>
                <c:pt idx="5">
                  <c:v>1.7882819999999999</c:v>
                </c:pt>
                <c:pt idx="6">
                  <c:v>1.8940999999999999</c:v>
                </c:pt>
                <c:pt idx="7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7-4D60-8D2F-2CE9739E44AA}"/>
            </c:ext>
          </c:extLst>
        </c:ser>
        <c:ser>
          <c:idx val="0"/>
          <c:order val="1"/>
          <c:tx>
            <c:strRef>
              <c:f>'Figure 2'!$C$1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'Figure 2'!$A$2:$A$9</c:f>
              <c:strCache>
                <c:ptCount val="8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</c:strCache>
            </c:strRef>
          </c:cat>
          <c:val>
            <c:numRef>
              <c:f>'Figure 2'!$C$2:$C$9</c:f>
              <c:numCache>
                <c:formatCode>_(* #,##0.0_);_(* \(#,##0.0\);_(* "-"??_);_(@_)</c:formatCode>
                <c:ptCount val="8"/>
                <c:pt idx="0">
                  <c:v>4.0830528045409915</c:v>
                </c:pt>
                <c:pt idx="1">
                  <c:v>3.9114110286118433</c:v>
                </c:pt>
                <c:pt idx="2">
                  <c:v>4.0290047173135957</c:v>
                </c:pt>
                <c:pt idx="3">
                  <c:v>4.1171210583501132</c:v>
                </c:pt>
                <c:pt idx="4">
                  <c:v>4.4185811554089138</c:v>
                </c:pt>
                <c:pt idx="5">
                  <c:v>6.2708722318558747</c:v>
                </c:pt>
                <c:pt idx="6">
                  <c:v>7.4185551162999994</c:v>
                </c:pt>
                <c:pt idx="7">
                  <c:v>8.0689187891999996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D60-8D2F-2CE9739E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barChart>
        <c:barDir val="col"/>
        <c:grouping val="stacked"/>
        <c:varyColors val="0"/>
        <c:ser>
          <c:idx val="2"/>
          <c:order val="2"/>
          <c:tx>
            <c:strRef>
              <c:f>'Figure 2'!$E$1</c:f>
              <c:strCache>
                <c:ptCount val="1"/>
                <c:pt idx="0">
                  <c:v>Food and other use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2'!$A$2:$A$9</c:f>
              <c:strCache>
                <c:ptCount val="8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</c:strCache>
            </c:strRef>
          </c:cat>
          <c:val>
            <c:numRef>
              <c:f>'Figure 2'!$E$2:$E$9</c:f>
              <c:numCache>
                <c:formatCode>_(* #,##0.0_);_(* \(#,##0.0\);_(* "-"??_);_(@_)</c:formatCode>
                <c:ptCount val="8"/>
                <c:pt idx="0">
                  <c:v>4.2225915799250879</c:v>
                </c:pt>
                <c:pt idx="1">
                  <c:v>4.1805102391286244</c:v>
                </c:pt>
                <c:pt idx="2">
                  <c:v>4.313166043006035</c:v>
                </c:pt>
                <c:pt idx="3">
                  <c:v>4.4362581310463485</c:v>
                </c:pt>
                <c:pt idx="4">
                  <c:v>4.3102524772471345</c:v>
                </c:pt>
                <c:pt idx="5">
                  <c:v>5.0101226325352339</c:v>
                </c:pt>
                <c:pt idx="6">
                  <c:v>5.1550000000000002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84-4483-8644-D28918D0A7B9}"/>
            </c:ext>
          </c:extLst>
        </c:ser>
        <c:ser>
          <c:idx val="1"/>
          <c:order val="3"/>
          <c:tx>
            <c:strRef>
              <c:f>'Figure 2'!$D$1</c:f>
              <c:strCache>
                <c:ptCount val="1"/>
                <c:pt idx="0">
                  <c:v>Biofuel use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2'!$A$2:$A$9</c:f>
              <c:strCache>
                <c:ptCount val="8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</c:strCache>
            </c:strRef>
          </c:cat>
          <c:val>
            <c:numRef>
              <c:f>'Figure 2'!$D$2:$D$9</c:f>
              <c:numCache>
                <c:formatCode>_(* #,##0.0_);_(* \(#,##0.0\);_(* "-"??_);_(@_)</c:formatCode>
                <c:ptCount val="8"/>
                <c:pt idx="0">
                  <c:v>1.3843699999999999</c:v>
                </c:pt>
                <c:pt idx="1">
                  <c:v>1.1000000000000001</c:v>
                </c:pt>
                <c:pt idx="2">
                  <c:v>1.3175999999999999</c:v>
                </c:pt>
                <c:pt idx="3">
                  <c:v>1.1499999999999999</c:v>
                </c:pt>
                <c:pt idx="4">
                  <c:v>1.335</c:v>
                </c:pt>
                <c:pt idx="5">
                  <c:v>2.9125220000000001</c:v>
                </c:pt>
                <c:pt idx="6">
                  <c:v>4</c:v>
                </c:pt>
                <c:pt idx="7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4-4483-8644-D28918D0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baseline="0">
                    <a:effectLst/>
                  </a:rPr>
                  <a:t>Marketing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5821734370124528"/>
              <c:y val="0.84887847923119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Billion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0616947974697305E-2"/>
              <c:y val="8.62788726751621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842490427911848"/>
          <c:y val="0.1679017013629599"/>
          <c:w val="0.49847446649921195"/>
          <c:h val="6.6456818948051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kern="1200" spc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spc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Select U.S. minor oilseed planted acres</a:t>
            </a:r>
          </a:p>
        </c:rich>
      </c:tx>
      <c:layout>
        <c:manualLayout>
          <c:xMode val="edge"/>
          <c:yMode val="edge"/>
          <c:x val="8.067156054698399E-4"/>
          <c:y val="8.727648855037390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7563970891598421E-2"/>
          <c:y val="0.21506097213641284"/>
          <c:w val="0.89032382657853382"/>
          <c:h val="0.46316049851853308"/>
        </c:manualLayout>
      </c:layout>
      <c:lineChart>
        <c:grouping val="standard"/>
        <c:varyColors val="0"/>
        <c:ser>
          <c:idx val="3"/>
          <c:order val="0"/>
          <c:tx>
            <c:strRef>
              <c:f>'Figure 3'!$A$2</c:f>
              <c:strCache>
                <c:ptCount val="1"/>
                <c:pt idx="0">
                  <c:v>Canola</c:v>
                </c:pt>
              </c:strCache>
            </c:strRef>
          </c:tx>
          <c:spPr>
            <a:effectLst/>
          </c:spPr>
          <c:marker>
            <c:symbol val="triangle"/>
            <c:size val="7"/>
          </c:marker>
          <c:cat>
            <c:strRef>
              <c:f>'Figure 3'!$B$1:$L$1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3'!$B$2:$L$2</c:f>
              <c:numCache>
                <c:formatCode>#,##0</c:formatCode>
                <c:ptCount val="11"/>
                <c:pt idx="0">
                  <c:v>1556.7</c:v>
                </c:pt>
                <c:pt idx="1">
                  <c:v>1713.5</c:v>
                </c:pt>
                <c:pt idx="2">
                  <c:v>1686.7</c:v>
                </c:pt>
                <c:pt idx="3">
                  <c:v>2002</c:v>
                </c:pt>
                <c:pt idx="4">
                  <c:v>1937</c:v>
                </c:pt>
                <c:pt idx="5">
                  <c:v>1907.5</c:v>
                </c:pt>
                <c:pt idx="6">
                  <c:v>1801.3</c:v>
                </c:pt>
                <c:pt idx="7">
                  <c:v>2084</c:v>
                </c:pt>
                <c:pt idx="8">
                  <c:v>2163.6999999999998</c:v>
                </c:pt>
                <c:pt idx="9">
                  <c:v>2319.1999999999998</c:v>
                </c:pt>
                <c:pt idx="10">
                  <c:v>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BF-4D3A-8B98-1534113B81AB}"/>
            </c:ext>
          </c:extLst>
        </c:ser>
        <c:ser>
          <c:idx val="0"/>
          <c:order val="1"/>
          <c:tx>
            <c:strRef>
              <c:f>'Figure 3'!$A$3</c:f>
              <c:strCache>
                <c:ptCount val="1"/>
                <c:pt idx="0">
                  <c:v>Sunflowerseed</c:v>
                </c:pt>
              </c:strCache>
            </c:strRef>
          </c:tx>
          <c:spPr>
            <a:effectLst/>
          </c:spPr>
          <c:marker>
            <c:symbol val="square"/>
            <c:size val="5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53BF-4D3A-8B98-1534113B81AB}"/>
              </c:ext>
            </c:extLst>
          </c:dPt>
          <c:cat>
            <c:strRef>
              <c:f>'Figure 3'!$B$1:$L$1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3'!$B$3:$L$3</c:f>
              <c:numCache>
                <c:formatCode>General</c:formatCode>
                <c:ptCount val="11"/>
                <c:pt idx="0">
                  <c:v>1565.3</c:v>
                </c:pt>
                <c:pt idx="1">
                  <c:v>1860.1</c:v>
                </c:pt>
                <c:pt idx="2">
                  <c:v>1596.6</c:v>
                </c:pt>
                <c:pt idx="3">
                  <c:v>1403</c:v>
                </c:pt>
                <c:pt idx="4">
                  <c:v>1298</c:v>
                </c:pt>
                <c:pt idx="5">
                  <c:v>1345.6</c:v>
                </c:pt>
                <c:pt idx="6">
                  <c:v>1713.1</c:v>
                </c:pt>
                <c:pt idx="7">
                  <c:v>1286.5</c:v>
                </c:pt>
                <c:pt idx="8">
                  <c:v>1687.5</c:v>
                </c:pt>
                <c:pt idx="9">
                  <c:v>1315</c:v>
                </c:pt>
                <c:pt idx="10">
                  <c:v>898.5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BF-4D3A-8B98-1534113B81AB}"/>
            </c:ext>
          </c:extLst>
        </c:ser>
        <c:ser>
          <c:idx val="2"/>
          <c:order val="2"/>
          <c:tx>
            <c:strRef>
              <c:f>'Figure 3'!$A$4</c:f>
              <c:strCache>
                <c:ptCount val="1"/>
                <c:pt idx="0">
                  <c:v>Peanuts</c:v>
                </c:pt>
              </c:strCache>
            </c:strRef>
          </c:tx>
          <c:marker>
            <c:symbol val="star"/>
            <c:size val="5"/>
          </c:marker>
          <c:cat>
            <c:strRef>
              <c:f>'Figure 3'!$B$1:$L$1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3'!$B$4:$L$4</c:f>
              <c:numCache>
                <c:formatCode>General</c:formatCode>
                <c:ptCount val="11"/>
                <c:pt idx="0">
                  <c:v>1353.5</c:v>
                </c:pt>
                <c:pt idx="1">
                  <c:v>1625</c:v>
                </c:pt>
                <c:pt idx="2">
                  <c:v>1671</c:v>
                </c:pt>
                <c:pt idx="3">
                  <c:v>1871.6</c:v>
                </c:pt>
                <c:pt idx="4">
                  <c:v>1419.6</c:v>
                </c:pt>
                <c:pt idx="5">
                  <c:v>1429.4</c:v>
                </c:pt>
                <c:pt idx="6">
                  <c:v>1658.5</c:v>
                </c:pt>
                <c:pt idx="7">
                  <c:v>1578.3</c:v>
                </c:pt>
                <c:pt idx="8">
                  <c:v>1448.5</c:v>
                </c:pt>
                <c:pt idx="9">
                  <c:v>1645</c:v>
                </c:pt>
                <c:pt idx="10">
                  <c:v>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BF-4D3A-8B98-1534113B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  <c:extLst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131386335905336"/>
              <c:y val="0.83059238562921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acres</a:t>
                </a:r>
              </a:p>
            </c:rich>
          </c:tx>
          <c:layout>
            <c:manualLayout>
              <c:xMode val="edge"/>
              <c:yMode val="edge"/>
              <c:x val="7.9338828465839763E-3"/>
              <c:y val="0.120734877220439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thousands"/>
        </c:dispUnits>
      </c:valAx>
    </c:plotArea>
    <c:legend>
      <c:legendPos val="t"/>
      <c:layout>
        <c:manualLayout>
          <c:xMode val="edge"/>
          <c:yMode val="edge"/>
          <c:x val="0.19219287388407552"/>
          <c:y val="0.13346952603046514"/>
          <c:w val="0.70747267795538937"/>
          <c:h val="5.1868369024167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kern="1200" spc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spc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China's imports from soybean major exporters, 2022/23–2024/25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3732201603454539E-2"/>
          <c:y val="1.527672817987535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712245334834868E-2"/>
          <c:y val="0.20693501312335957"/>
          <c:w val="0.91613278239717522"/>
          <c:h val="0.4204189676290463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4'!$A$3</c:f>
              <c:strCache>
                <c:ptCount val="1"/>
                <c:pt idx="0">
                  <c:v> Q1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4'!$B$2:$D$2</c:f>
              <c:strCache>
                <c:ptCount val="3"/>
                <c:pt idx="0">
                  <c:v>2022/23</c:v>
                </c:pt>
                <c:pt idx="1">
                  <c:v>2023/24</c:v>
                </c:pt>
                <c:pt idx="2">
                  <c:v>2024/25*</c:v>
                </c:pt>
              </c:strCache>
            </c:strRef>
          </c:cat>
          <c:val>
            <c:numRef>
              <c:f>'Figure 4'!$B$3:$C$3</c:f>
              <c:numCache>
                <c:formatCode>_(* #,##0_);_(* \(#,##0\);_(* "-"??_);_(@_)</c:formatCode>
                <c:ptCount val="2"/>
                <c:pt idx="0">
                  <c:v>22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45-409B-981A-64F8CD36E02D}"/>
            </c:ext>
          </c:extLst>
        </c:ser>
        <c:ser>
          <c:idx val="0"/>
          <c:order val="1"/>
          <c:tx>
            <c:strRef>
              <c:f>'Figure 4'!$A$4</c:f>
              <c:strCache>
                <c:ptCount val="1"/>
                <c:pt idx="0">
                  <c:v>Q2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4'!$B$2:$D$2</c:f>
              <c:strCache>
                <c:ptCount val="3"/>
                <c:pt idx="0">
                  <c:v>2022/23</c:v>
                </c:pt>
                <c:pt idx="1">
                  <c:v>2023/24</c:v>
                </c:pt>
                <c:pt idx="2">
                  <c:v>2024/25*</c:v>
                </c:pt>
              </c:strCache>
            </c:strRef>
          </c:cat>
          <c:val>
            <c:numRef>
              <c:f>'Figure 4'!$B$4:$C$4</c:f>
              <c:numCache>
                <c:formatCode>_(* #,##0_);_(* \(#,##0\);_(* "-"??_);_(@_)</c:formatCode>
                <c:ptCount val="2"/>
                <c:pt idx="0">
                  <c:v>22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45-409B-981A-64F8CD36E02D}"/>
            </c:ext>
          </c:extLst>
        </c:ser>
        <c:ser>
          <c:idx val="1"/>
          <c:order val="2"/>
          <c:tx>
            <c:strRef>
              <c:f>'Figure 4'!$A$5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4'!$B$2:$D$2</c:f>
              <c:strCache>
                <c:ptCount val="3"/>
                <c:pt idx="0">
                  <c:v>2022/23</c:v>
                </c:pt>
                <c:pt idx="1">
                  <c:v>2023/24</c:v>
                </c:pt>
                <c:pt idx="2">
                  <c:v>2024/25*</c:v>
                </c:pt>
              </c:strCache>
            </c:strRef>
          </c:cat>
          <c:val>
            <c:numRef>
              <c:f>'Figure 4'!$B$5:$C$5</c:f>
              <c:numCache>
                <c:formatCode>_(* #,##0_);_(* \(#,##0\);_(* "-"??_);_(@_)</c:formatCode>
                <c:ptCount val="2"/>
                <c:pt idx="0">
                  <c:v>29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45-409B-981A-64F8CD36E02D}"/>
            </c:ext>
          </c:extLst>
        </c:ser>
        <c:ser>
          <c:idx val="2"/>
          <c:order val="3"/>
          <c:tx>
            <c:strRef>
              <c:f>'Figure 4'!$A$6</c:f>
              <c:strCache>
                <c:ptCount val="1"/>
                <c:pt idx="0">
                  <c:v>Q4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92D05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7-7345-409B-981A-64F8CD36E0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4'!$B$2:$D$2</c:f>
              <c:strCache>
                <c:ptCount val="3"/>
                <c:pt idx="0">
                  <c:v>2022/23</c:v>
                </c:pt>
                <c:pt idx="1">
                  <c:v>2023/24</c:v>
                </c:pt>
                <c:pt idx="2">
                  <c:v>2024/25*</c:v>
                </c:pt>
              </c:strCache>
            </c:strRef>
          </c:cat>
          <c:val>
            <c:numRef>
              <c:f>'Figure 4'!$B$6:$C$6</c:f>
              <c:numCache>
                <c:formatCode>_(* #,##0_);_(* \(#,##0\);_(* "-"??_);_(@_)</c:formatCode>
                <c:ptCount val="2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345-409B-981A-64F8CD36E02D}"/>
            </c:ext>
          </c:extLst>
        </c:ser>
        <c:ser>
          <c:idx val="5"/>
          <c:order val="5"/>
          <c:tx>
            <c:strRef>
              <c:f>'Figure 4'!$A$7</c:f>
              <c:strCache>
                <c:ptCount val="1"/>
                <c:pt idx="0">
                  <c:v>Q4*</c:v>
                </c:pt>
              </c:strCache>
            </c:strRef>
          </c:tx>
          <c:spPr>
            <a:pattFill prst="wdUpDiag">
              <a:fgClr>
                <a:schemeClr val="accent3"/>
              </a:fgClr>
              <a:bgClr>
                <a:schemeClr val="bg1"/>
              </a:bgClr>
            </a:patt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4'!$B$7:$D$7</c:f>
              <c:numCache>
                <c:formatCode>_(* #,##0_);_(* \(#,##0\);_(* "-"??_);_(@_)</c:formatCode>
                <c:ptCount val="3"/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7A-449F-8E06-B5F35B27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4"/>
          <c:order val="4"/>
          <c:tx>
            <c:strRef>
              <c:f>'Figure 4'!$A$8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0454840805718023E-2"/>
                  <c:y val="-4.4055808813372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45-409B-981A-64F8CD36E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4'!$B$2:$D$2</c:f>
              <c:strCache>
                <c:ptCount val="3"/>
                <c:pt idx="0">
                  <c:v>2022/23</c:v>
                </c:pt>
                <c:pt idx="1">
                  <c:v>2023/24</c:v>
                </c:pt>
                <c:pt idx="2">
                  <c:v>2024/25*</c:v>
                </c:pt>
              </c:strCache>
            </c:strRef>
          </c:cat>
          <c:val>
            <c:numRef>
              <c:f>'Figure 4'!$B$8:$D$8</c:f>
              <c:numCache>
                <c:formatCode>0.0</c:formatCode>
                <c:ptCount val="3"/>
                <c:pt idx="0">
                  <c:v>104.5</c:v>
                </c:pt>
                <c:pt idx="1">
                  <c:v>108</c:v>
                </c:pt>
                <c:pt idx="2" formatCode="_(* #,##0.0_);_(* \(#,##0.0\);_(* &quot;-&quot;??_);_(@_)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45-409B-981A-64F8CD36E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3974981429208143"/>
              <c:y val="0.740759426029830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7.9338935844028673E-3"/>
              <c:y val="0.139342434266722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918638938976855"/>
          <c:y val="0.11838852143482066"/>
          <c:w val="0.41006607842361414"/>
          <c:h val="5.6709431321084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1sa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effectLst/>
              </a:rPr>
              <a:t>Cumulative</a:t>
            </a:r>
            <a:r>
              <a:rPr lang="en-US" sz="1100" baseline="0">
                <a:effectLst/>
              </a:rPr>
              <a:t> </a:t>
            </a:r>
            <a:r>
              <a:rPr lang="en-US" sz="1100">
                <a:effectLst/>
              </a:rPr>
              <a:t>biomass-based</a:t>
            </a:r>
            <a:r>
              <a:rPr lang="en-US" sz="1100" baseline="0">
                <a:effectLst/>
              </a:rPr>
              <a:t> diesel (D4) volume vs. renewable volume obligations (RVO) mandate, 2023 and 2024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278685441192815E-2"/>
          <c:y val="8.138138570897695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021801020800745E-2"/>
          <c:y val="0.19647315829374076"/>
          <c:w val="0.91519813280668905"/>
          <c:h val="0.58730839713303551"/>
        </c:manualLayout>
      </c:layout>
      <c:areaChart>
        <c:grouping val="stacked"/>
        <c:varyColors val="0"/>
        <c:ser>
          <c:idx val="2"/>
          <c:order val="0"/>
          <c:tx>
            <c:strRef>
              <c:f>'Figure 1sa'!$B$1</c:f>
              <c:strCache>
                <c:ptCount val="1"/>
                <c:pt idx="0">
                  <c:v>D4 cumulative volume, 2023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'Figure 1sa'!$A$2:$A$13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'Figure 1sa'!$B$2:$B$13</c:f>
              <c:numCache>
                <c:formatCode>#,##0.0</c:formatCode>
                <c:ptCount val="12"/>
                <c:pt idx="0">
                  <c:v>0.3</c:v>
                </c:pt>
                <c:pt idx="1">
                  <c:v>0.6</c:v>
                </c:pt>
                <c:pt idx="2">
                  <c:v>1</c:v>
                </c:pt>
                <c:pt idx="3">
                  <c:v>1.4</c:v>
                </c:pt>
                <c:pt idx="4">
                  <c:v>1.9</c:v>
                </c:pt>
                <c:pt idx="5">
                  <c:v>2.2999999999999998</c:v>
                </c:pt>
                <c:pt idx="6">
                  <c:v>2.7</c:v>
                </c:pt>
                <c:pt idx="7">
                  <c:v>3.1</c:v>
                </c:pt>
                <c:pt idx="8">
                  <c:v>3.5</c:v>
                </c:pt>
                <c:pt idx="9">
                  <c:v>4</c:v>
                </c:pt>
                <c:pt idx="10">
                  <c:v>4.4000000000000004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6-4E11-9064-0CE420B2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barChart>
        <c:barDir val="col"/>
        <c:grouping val="stacked"/>
        <c:varyColors val="0"/>
        <c:ser>
          <c:idx val="4"/>
          <c:order val="3"/>
          <c:tx>
            <c:strRef>
              <c:f>'Figure 1sa'!$E$1</c:f>
              <c:strCache>
                <c:ptCount val="1"/>
                <c:pt idx="0">
                  <c:v>D4 cumulative volume, 2024</c:v>
                </c:pt>
              </c:strCache>
            </c:strRef>
          </c:tx>
          <c:spPr>
            <a:solidFill>
              <a:srgbClr val="FA6400"/>
            </a:solidFill>
            <a:ln>
              <a:noFill/>
            </a:ln>
          </c:spPr>
          <c:invertIfNegative val="0"/>
          <c:val>
            <c:numRef>
              <c:f>'Figure 1sa'!$E$2:$E$6</c:f>
              <c:numCache>
                <c:formatCode>#,##0.0</c:formatCode>
                <c:ptCount val="5"/>
                <c:pt idx="0">
                  <c:v>0.42</c:v>
                </c:pt>
                <c:pt idx="1">
                  <c:v>0.9</c:v>
                </c:pt>
                <c:pt idx="2">
                  <c:v>1.3</c:v>
                </c:pt>
                <c:pt idx="3">
                  <c:v>1.8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6-4E11-9064-0CE420B2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3"/>
          <c:order val="1"/>
          <c:tx>
            <c:strRef>
              <c:f>'Figure 1sa'!$C$1</c:f>
              <c:strCache>
                <c:ptCount val="1"/>
                <c:pt idx="0">
                  <c:v>RVO mandate 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'Figure 1sa'!$C$2:$C$13</c:f>
              <c:numCache>
                <c:formatCode>#,##0.00</c:formatCode>
                <c:ptCount val="12"/>
                <c:pt idx="0">
                  <c:v>2.82</c:v>
                </c:pt>
                <c:pt idx="1">
                  <c:v>2.82</c:v>
                </c:pt>
                <c:pt idx="2">
                  <c:v>2.82</c:v>
                </c:pt>
                <c:pt idx="3">
                  <c:v>2.82</c:v>
                </c:pt>
                <c:pt idx="4">
                  <c:v>2.82</c:v>
                </c:pt>
                <c:pt idx="5">
                  <c:v>2.82</c:v>
                </c:pt>
                <c:pt idx="6">
                  <c:v>2.82</c:v>
                </c:pt>
                <c:pt idx="7">
                  <c:v>2.82</c:v>
                </c:pt>
                <c:pt idx="8">
                  <c:v>2.82</c:v>
                </c:pt>
                <c:pt idx="9">
                  <c:v>2.82</c:v>
                </c:pt>
                <c:pt idx="10">
                  <c:v>2.82</c:v>
                </c:pt>
                <c:pt idx="11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6-4E11-9064-0CE420B28408}"/>
            </c:ext>
          </c:extLst>
        </c:ser>
        <c:ser>
          <c:idx val="1"/>
          <c:order val="2"/>
          <c:tx>
            <c:strRef>
              <c:f>'Figure 1sa'!$D$1</c:f>
              <c:strCache>
                <c:ptCount val="1"/>
                <c:pt idx="0">
                  <c:v>RVO mandate 2024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D86-4E11-9064-0CE420B284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D86-4E11-9064-0CE420B284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D86-4E11-9064-0CE420B284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D86-4E11-9064-0CE420B284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2D86-4E11-9064-0CE420B284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2D86-4E11-9064-0CE420B284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2D86-4E11-9064-0CE420B284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2D86-4E11-9064-0CE420B284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2D86-4E11-9064-0CE420B284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2D86-4E11-9064-0CE420B284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2D86-4E11-9064-0CE420B28408}"/>
              </c:ext>
            </c:extLst>
          </c:dPt>
          <c:val>
            <c:numRef>
              <c:f>'Figure 1sa'!$D$2:$D$13</c:f>
              <c:numCache>
                <c:formatCode>#,##0.00</c:formatCode>
                <c:ptCount val="12"/>
                <c:pt idx="0">
                  <c:v>3.04</c:v>
                </c:pt>
                <c:pt idx="1">
                  <c:v>3.04</c:v>
                </c:pt>
                <c:pt idx="2">
                  <c:v>3.04</c:v>
                </c:pt>
                <c:pt idx="3">
                  <c:v>3.04</c:v>
                </c:pt>
                <c:pt idx="4">
                  <c:v>3.04</c:v>
                </c:pt>
                <c:pt idx="5">
                  <c:v>3.04</c:v>
                </c:pt>
                <c:pt idx="6">
                  <c:v>3.04</c:v>
                </c:pt>
                <c:pt idx="7">
                  <c:v>3.04</c:v>
                </c:pt>
                <c:pt idx="8">
                  <c:v>3.04</c:v>
                </c:pt>
                <c:pt idx="9">
                  <c:v>3.04</c:v>
                </c:pt>
                <c:pt idx="10">
                  <c:v>3.04</c:v>
                </c:pt>
                <c:pt idx="11">
                  <c:v>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86-4E11-9064-0CE420B2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Billion gallons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8.203168415023044E-3"/>
              <c:y val="0.139066774173505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176759256884421"/>
          <c:y val="0.17579116394895331"/>
          <c:w val="0.76271786059315871"/>
          <c:h val="0.16159525281549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2sa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Estimated renewable identification number and low carbon fuel standard carbon credit payout for renewable diesel in California by feedstock, 2020–24</a:t>
            </a:r>
            <a:endParaRPr lang="en-US" sz="1050" b="1"/>
          </a:p>
        </c:rich>
      </c:tx>
      <c:layout>
        <c:manualLayout>
          <c:xMode val="edge"/>
          <c:yMode val="edge"/>
          <c:x val="3.3974743837131447E-3"/>
          <c:y val="9.531332094459979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730922069027948E-2"/>
          <c:y val="0.26218810070685855"/>
          <c:w val="0.89211149771859599"/>
          <c:h val="0.38863039283210166"/>
        </c:manualLayout>
      </c:layout>
      <c:lineChart>
        <c:grouping val="standard"/>
        <c:varyColors val="0"/>
        <c:ser>
          <c:idx val="3"/>
          <c:order val="0"/>
          <c:tx>
            <c:strRef>
              <c:f>'Figure 2sa'!$A$10</c:f>
              <c:strCache>
                <c:ptCount val="1"/>
                <c:pt idx="0">
                  <c:v>Soybean oil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2sa'!$C$9:$G$9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2sa'!$C$10:$G$10</c:f>
              <c:numCache>
                <c:formatCode>_(* #,##0.00_);_(* \(#,##0.00\);_(* "-"??_);_(@_)</c:formatCode>
                <c:ptCount val="5"/>
                <c:pt idx="0">
                  <c:v>1.3468746834727274</c:v>
                </c:pt>
                <c:pt idx="1">
                  <c:v>2.1367404400471401</c:v>
                </c:pt>
                <c:pt idx="2">
                  <c:v>1.9682645785786101</c:v>
                </c:pt>
                <c:pt idx="3">
                  <c:v>1.6051169406972892</c:v>
                </c:pt>
                <c:pt idx="4">
                  <c:v>0.74989982218317464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6-4F3D-B626-F5939B2BF3F7}"/>
            </c:ext>
          </c:extLst>
        </c:ser>
        <c:ser>
          <c:idx val="4"/>
          <c:order val="1"/>
          <c:tx>
            <c:strRef>
              <c:f>'Figure 2sa'!$A$11</c:f>
              <c:strCache>
                <c:ptCount val="1"/>
                <c:pt idx="0">
                  <c:v>Used cooking oil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/>
          </c:spPr>
          <c:marker>
            <c:symbol val="star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'Figure 2sa'!$C$9:$G$9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2sa'!$C$11:$G$11</c:f>
              <c:numCache>
                <c:formatCode>_(* #,##0.00_);_(* \(#,##0.00\);_(* "-"??_);_(@_)</c:formatCode>
                <c:ptCount val="5"/>
                <c:pt idx="0">
                  <c:v>2.2037349156466406</c:v>
                </c:pt>
                <c:pt idx="1">
                  <c:v>2.8969828412731404</c:v>
                </c:pt>
                <c:pt idx="2">
                  <c:v>2.3898416493286101</c:v>
                </c:pt>
                <c:pt idx="3">
                  <c:v>1.9165889598237951</c:v>
                </c:pt>
                <c:pt idx="4">
                  <c:v>0.99709100608793655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6-4F3D-B626-F5939B2BF3F7}"/>
            </c:ext>
          </c:extLst>
        </c:ser>
        <c:ser>
          <c:idx val="5"/>
          <c:order val="2"/>
          <c:tx>
            <c:strRef>
              <c:f>'Figure 2sa'!$A$12</c:f>
              <c:strCache>
                <c:ptCount val="1"/>
                <c:pt idx="0">
                  <c:v>Canola oil</c:v>
                </c:pt>
              </c:strCache>
            </c:strRef>
          </c:tx>
          <c:spPr>
            <a:effectLst/>
          </c:spPr>
          <c:marker>
            <c:symbol val="square"/>
            <c:size val="5"/>
          </c:marker>
          <c:cat>
            <c:numRef>
              <c:f>'Figure 2sa'!$C$9:$G$9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2sa'!$C$12:$G$12</c:f>
              <c:numCache>
                <c:formatCode>_(* #,##0.00_);_(* \(#,##0.00\);_(* "-"??_);_(@_)</c:formatCode>
                <c:ptCount val="5"/>
                <c:pt idx="0">
                  <c:v>1.4767019913778658</c:v>
                </c:pt>
                <c:pt idx="1">
                  <c:v>2.2519286826571401</c:v>
                </c:pt>
                <c:pt idx="2">
                  <c:v>2.03213989232861</c:v>
                </c:pt>
                <c:pt idx="3">
                  <c:v>1.6523096708679719</c:v>
                </c:pt>
                <c:pt idx="4">
                  <c:v>0.78735303186571426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6-4F3D-B626-F5939B2BF3F7}"/>
            </c:ext>
          </c:extLst>
        </c:ser>
        <c:ser>
          <c:idx val="0"/>
          <c:order val="3"/>
          <c:tx>
            <c:strRef>
              <c:f>'Figure 2sa'!$A$13</c:f>
              <c:strCache>
                <c:ptCount val="1"/>
                <c:pt idx="0">
                  <c:v>Tallow</c:v>
                </c:pt>
              </c:strCache>
            </c:strRef>
          </c:tx>
          <c:spPr>
            <a:effectLst/>
          </c:spPr>
          <c:marker>
            <c:symbol val="triangle"/>
            <c:size val="5"/>
          </c:marker>
          <c:cat>
            <c:numRef>
              <c:f>'Figure 2sa'!$C$9:$G$9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2sa'!$C$13:$G$13</c:f>
              <c:numCache>
                <c:formatCode>_(* #,##0.00_);_(* \(#,##0.00\);_(* "-"??_);_(@_)</c:formatCode>
                <c:ptCount val="5"/>
                <c:pt idx="0">
                  <c:v>1.8661839150932811</c:v>
                </c:pt>
                <c:pt idx="1">
                  <c:v>2.5974934104871403</c:v>
                </c:pt>
                <c:pt idx="2">
                  <c:v>2.2237658335786104</c:v>
                </c:pt>
                <c:pt idx="3">
                  <c:v>1.79388786138002</c:v>
                </c:pt>
                <c:pt idx="4">
                  <c:v>0.89971266091333335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6-4F3D-B626-F5939B2B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Calendar year 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0743780013442782"/>
              <c:y val="0.756135093042447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3"/>
          <c:min val="0.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gallon</a:t>
                </a:r>
              </a:p>
            </c:rich>
          </c:tx>
          <c:layout>
            <c:manualLayout>
              <c:xMode val="edge"/>
              <c:yMode val="edge"/>
              <c:x val="1.8051537315756224E-3"/>
              <c:y val="0.182616055687062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ln>
          <a:solidFill>
            <a:schemeClr val="accent3"/>
          </a:solidFill>
        </a:ln>
      </c:spPr>
    </c:plotArea>
    <c:legend>
      <c:legendPos val="t"/>
      <c:layout>
        <c:manualLayout>
          <c:xMode val="edge"/>
          <c:yMode val="edge"/>
          <c:x val="0.1970912734605913"/>
          <c:y val="0.1808509356980473"/>
          <c:w val="0.68893394904584293"/>
          <c:h val="5.2379400850755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3sa 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animal fats prices and imported processed oils, CY 2016–24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364648519017325E-2"/>
          <c:y val="0.32374767414626959"/>
          <c:w val="0.91838521319209687"/>
          <c:h val="0.36099119408278924"/>
        </c:manualLayout>
      </c:layout>
      <c:lineChart>
        <c:grouping val="standard"/>
        <c:varyColors val="0"/>
        <c:ser>
          <c:idx val="1"/>
          <c:order val="0"/>
          <c:tx>
            <c:strRef>
              <c:f>'Figure 3sa'!$E$2</c:f>
              <c:strCache>
                <c:ptCount val="1"/>
                <c:pt idx="0">
                  <c:v>Soybean oil, Decatur, IL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'Figure 3sa'!$A$3:$A$11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</c:v>
                </c:pt>
              </c:strCache>
            </c:strRef>
          </c:cat>
          <c:val>
            <c:numRef>
              <c:f>'Figure 3sa'!$E$3:$E$11</c:f>
              <c:numCache>
                <c:formatCode>0</c:formatCode>
                <c:ptCount val="9"/>
                <c:pt idx="0">
                  <c:v>31.583333333333332</c:v>
                </c:pt>
                <c:pt idx="1">
                  <c:v>32.055833333333332</c:v>
                </c:pt>
                <c:pt idx="2">
                  <c:v>28.915000000000003</c:v>
                </c:pt>
                <c:pt idx="3">
                  <c:v>28.966666666666669</c:v>
                </c:pt>
                <c:pt idx="4">
                  <c:v>31.291666666666671</c:v>
                </c:pt>
                <c:pt idx="5">
                  <c:v>64.041666666666671</c:v>
                </c:pt>
                <c:pt idx="6">
                  <c:v>74.603541666666658</c:v>
                </c:pt>
                <c:pt idx="7">
                  <c:v>60.444666666666656</c:v>
                </c:pt>
                <c:pt idx="8">
                  <c:v>45.39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C-4E94-B196-2E4C9CF538F0}"/>
            </c:ext>
          </c:extLst>
        </c:ser>
        <c:ser>
          <c:idx val="0"/>
          <c:order val="1"/>
          <c:tx>
            <c:strRef>
              <c:f>'Figure 3sa'!$B$2</c:f>
              <c:strCache>
                <c:ptCount val="1"/>
                <c:pt idx="0">
                  <c:v>Inedible tallow, Chicago, IL, packers' prime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 w="28575">
                <a:solidFill>
                  <a:schemeClr val="tx1"/>
                </a:solidFill>
              </a:ln>
              <a:effectLst/>
            </c:spPr>
          </c:marker>
          <c:cat>
            <c:strRef>
              <c:f>'Figure 3sa'!$A$3:$A$11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</c:v>
                </c:pt>
              </c:strCache>
            </c:strRef>
          </c:cat>
          <c:val>
            <c:numRef>
              <c:f>'Figure 3sa'!$B$3:$B$11</c:f>
              <c:numCache>
                <c:formatCode>0</c:formatCode>
                <c:ptCount val="9"/>
                <c:pt idx="0">
                  <c:v>29.275833333333338</c:v>
                </c:pt>
                <c:pt idx="1">
                  <c:v>30.403333333333336</c:v>
                </c:pt>
                <c:pt idx="2">
                  <c:v>25.181666666666661</c:v>
                </c:pt>
                <c:pt idx="3">
                  <c:v>27.350909090909092</c:v>
                </c:pt>
                <c:pt idx="4">
                  <c:v>29.970000000000006</c:v>
                </c:pt>
                <c:pt idx="5">
                  <c:v>57.24</c:v>
                </c:pt>
                <c:pt idx="6">
                  <c:v>74.890999999999991</c:v>
                </c:pt>
                <c:pt idx="7">
                  <c:v>58.700138888888901</c:v>
                </c:pt>
                <c:pt idx="8">
                  <c:v>41.383333333333333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C-4E94-B196-2E4C9CF538F0}"/>
            </c:ext>
          </c:extLst>
        </c:ser>
        <c:ser>
          <c:idx val="2"/>
          <c:order val="2"/>
          <c:tx>
            <c:strRef>
              <c:f>'Figure 3sa'!$C$2</c:f>
              <c:strCache>
                <c:ptCount val="1"/>
                <c:pt idx="0">
                  <c:v>Choice white grease, tanks, delivered Chicago, IL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'Figure 3sa'!$A$3:$A$11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</c:v>
                </c:pt>
              </c:strCache>
            </c:strRef>
          </c:cat>
          <c:val>
            <c:numRef>
              <c:f>'Figure 3sa'!$C$3:$C$11</c:f>
              <c:numCache>
                <c:formatCode>0</c:formatCode>
                <c:ptCount val="9"/>
                <c:pt idx="0">
                  <c:v>28.054444444444446</c:v>
                </c:pt>
                <c:pt idx="1">
                  <c:v>29.118333333333336</c:v>
                </c:pt>
                <c:pt idx="2">
                  <c:v>23.855</c:v>
                </c:pt>
                <c:pt idx="3">
                  <c:v>26.012499999999999</c:v>
                </c:pt>
                <c:pt idx="4">
                  <c:v>27.953999999999997</c:v>
                </c:pt>
                <c:pt idx="5">
                  <c:v>50.830000000000005</c:v>
                </c:pt>
                <c:pt idx="6">
                  <c:v>71.44</c:v>
                </c:pt>
                <c:pt idx="7">
                  <c:v>55.97</c:v>
                </c:pt>
                <c:pt idx="8">
                  <c:v>38.94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BC-4E94-B196-2E4C9CF538F0}"/>
            </c:ext>
          </c:extLst>
        </c:ser>
        <c:ser>
          <c:idx val="5"/>
          <c:order val="3"/>
          <c:tx>
            <c:strRef>
              <c:f>'Figure 3sa'!$D$2</c:f>
              <c:strCache>
                <c:ptCount val="1"/>
                <c:pt idx="0">
                  <c:v>Imported Processed Oils (HS code: 1518004000), CIF unit value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'Figure 3sa'!$A$3:$A$11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</c:v>
                </c:pt>
              </c:strCache>
            </c:strRef>
          </c:cat>
          <c:val>
            <c:numRef>
              <c:f>'Figure 3sa'!$D$3:$D$11</c:f>
              <c:numCache>
                <c:formatCode>0</c:formatCode>
                <c:ptCount val="9"/>
                <c:pt idx="0">
                  <c:v>38.84605835873225</c:v>
                </c:pt>
                <c:pt idx="1">
                  <c:v>37.820601029675615</c:v>
                </c:pt>
                <c:pt idx="2">
                  <c:v>32.518788960149017</c:v>
                </c:pt>
                <c:pt idx="3">
                  <c:v>32.330884201510443</c:v>
                </c:pt>
                <c:pt idx="4">
                  <c:v>31.625358754259842</c:v>
                </c:pt>
                <c:pt idx="5">
                  <c:v>45.028936996268037</c:v>
                </c:pt>
                <c:pt idx="6">
                  <c:v>67.027987079851343</c:v>
                </c:pt>
                <c:pt idx="7">
                  <c:v>54.202658351418599</c:v>
                </c:pt>
                <c:pt idx="8">
                  <c:v>44.467746636860184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BC-4E94-B196-2E4C9CF5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Calendar</a:t>
                </a:r>
                <a:r>
                  <a:rPr lang="en-US" sz="900" baseline="0"/>
                  <a:t> </a:t>
                </a:r>
                <a:r>
                  <a:rPr lang="en-US" sz="900"/>
                  <a:t>year</a:t>
                </a:r>
              </a:p>
            </c:rich>
          </c:tx>
          <c:layout>
            <c:manualLayout>
              <c:xMode val="edge"/>
              <c:yMode val="edge"/>
              <c:x val="0.45076900503703432"/>
              <c:y val="0.789648012989626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Cents per</a:t>
                </a:r>
                <a:r>
                  <a:rPr lang="en-US" sz="900"/>
                  <a:t> pound</a:t>
                </a:r>
              </a:p>
            </c:rich>
          </c:tx>
          <c:layout>
            <c:manualLayout>
              <c:xMode val="edge"/>
              <c:yMode val="edge"/>
              <c:x val="1.0644172451193918E-2"/>
              <c:y val="0.255918802428077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3625229160926786E-2"/>
          <c:y val="0.14121191581821507"/>
          <c:w val="0.89204766204038932"/>
          <c:h val="0.16326276523126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4sa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Biomass-based diesel production and estimated use of vegetable oils, animal fats, waste oils, and greases </a:t>
            </a:r>
            <a:endParaRPr lang="en-US" sz="1050" b="1"/>
          </a:p>
        </c:rich>
      </c:tx>
      <c:layout>
        <c:manualLayout>
          <c:xMode val="edge"/>
          <c:yMode val="edge"/>
          <c:x val="7.2883202443093827E-3"/>
          <c:y val="9.90598652232690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652222010046279E-2"/>
          <c:y val="0.2876579502254783"/>
          <c:w val="0.8649197447010567"/>
          <c:h val="0.43016052317318199"/>
        </c:manualLayout>
      </c:layout>
      <c:areaChart>
        <c:grouping val="stacked"/>
        <c:varyColors val="0"/>
        <c:ser>
          <c:idx val="1"/>
          <c:order val="1"/>
          <c:tx>
            <c:strRef>
              <c:f>'Figure 4sa'!$B$2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'Figure 4sa'!$A$3:$A$10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4sa'!$B$3:$B$10</c:f>
              <c:numCache>
                <c:formatCode>#,##0.0</c:formatCode>
                <c:ptCount val="8"/>
                <c:pt idx="0">
                  <c:v>1.6</c:v>
                </c:pt>
                <c:pt idx="1">
                  <c:v>1.6</c:v>
                </c:pt>
                <c:pt idx="2">
                  <c:v>1.9</c:v>
                </c:pt>
                <c:pt idx="3">
                  <c:v>1.7</c:v>
                </c:pt>
                <c:pt idx="4">
                  <c:v>1.8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8-45EF-8D94-91F3FDCA06F3}"/>
            </c:ext>
          </c:extLst>
        </c:ser>
        <c:ser>
          <c:idx val="0"/>
          <c:order val="3"/>
          <c:tx>
            <c:strRef>
              <c:f>'Figure 4sa'!$C$2</c:f>
              <c:strCache>
                <c:ptCount val="1"/>
                <c:pt idx="0">
                  <c:v>Renewable diesel fuel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'Figure 4sa'!$A$3:$A$10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4sa'!$C$3:$C$10</c:f>
              <c:numCache>
                <c:formatCode>#,##0.0</c:formatCode>
                <c:ptCount val="8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0.5</c:v>
                </c:pt>
                <c:pt idx="4">
                  <c:v>0.5</c:v>
                </c:pt>
                <c:pt idx="5">
                  <c:v>0.9</c:v>
                </c:pt>
                <c:pt idx="6">
                  <c:v>1.5</c:v>
                </c:pt>
                <c:pt idx="7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8-45EF-8D94-91F3FDCA06F3}"/>
            </c:ext>
          </c:extLst>
        </c:ser>
        <c:ser>
          <c:idx val="2"/>
          <c:order val="4"/>
          <c:tx>
            <c:strRef>
              <c:f>'Figure 4sa'!$D$2</c:f>
              <c:strCache>
                <c:ptCount val="1"/>
                <c:pt idx="0">
                  <c:v>Other biofuels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cat>
            <c:numRef>
              <c:f>'Figure 4sa'!$A$3:$A$10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4sa'!$D$3:$D$10</c:f>
              <c:numCache>
                <c:formatCode>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8-45EF-8D94-91F3FDCA0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barChart>
        <c:barDir val="col"/>
        <c:grouping val="stacked"/>
        <c:varyColors val="0"/>
        <c:ser>
          <c:idx val="3"/>
          <c:order val="0"/>
          <c:tx>
            <c:strRef>
              <c:f>'Figure 4sa'!$G$2</c:f>
              <c:strCache>
                <c:ptCount val="1"/>
                <c:pt idx="0">
                  <c:v>Total vegetable oils (left axis)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E4D86C2-28C6-431C-A995-343BF6D533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958-45EF-8D94-91F3FDCA06F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4AD794-B65D-4C15-B896-3288C5354E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958-45EF-8D94-91F3FDCA06F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62FD469-763C-46D2-AF29-0E45AF71AD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958-45EF-8D94-91F3FDCA06F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D34717-E7FD-4287-B678-04297FD185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958-45EF-8D94-91F3FDCA06F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0A062F0-C0F0-4C14-A90D-E819BD3B59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958-45EF-8D94-91F3FDCA06F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5EB7540-8FF3-4D2D-A937-443428D006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958-45EF-8D94-91F3FDCA06F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BE513C3-0ACF-4288-A340-779FC01F2E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958-45EF-8D94-91F3FDCA06F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A62F403-1F43-4AE2-A83A-9B2CD25E9A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958-45EF-8D94-91F3FDCA0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4sa'!$A$3:$A$10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4sa'!$G$3:$G$10</c:f>
              <c:numCache>
                <c:formatCode>#,##0</c:formatCode>
                <c:ptCount val="8"/>
                <c:pt idx="0">
                  <c:v>8536.26</c:v>
                </c:pt>
                <c:pt idx="1">
                  <c:v>9260.86</c:v>
                </c:pt>
                <c:pt idx="2">
                  <c:v>11016.05</c:v>
                </c:pt>
                <c:pt idx="3">
                  <c:v>10324.530000000001</c:v>
                </c:pt>
                <c:pt idx="4">
                  <c:v>11186.54</c:v>
                </c:pt>
                <c:pt idx="5">
                  <c:v>13064.73</c:v>
                </c:pt>
                <c:pt idx="6">
                  <c:v>15430.56</c:v>
                </c:pt>
                <c:pt idx="7">
                  <c:v>20294.310000000001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4sa'!$J$3:$J$10</c15:f>
                <c15:dlblRangeCache>
                  <c:ptCount val="8"/>
                  <c:pt idx="0">
                    <c:v> 77 </c:v>
                  </c:pt>
                  <c:pt idx="1">
                    <c:v> 78 </c:v>
                  </c:pt>
                  <c:pt idx="2">
                    <c:v> 79 </c:v>
                  </c:pt>
                  <c:pt idx="3">
                    <c:v> 81 </c:v>
                  </c:pt>
                  <c:pt idx="4">
                    <c:v> 83 </c:v>
                  </c:pt>
                  <c:pt idx="5">
                    <c:v> 68 </c:v>
                  </c:pt>
                  <c:pt idx="6">
                    <c:v> 66 </c:v>
                  </c:pt>
                  <c:pt idx="7">
                    <c:v> 63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958-45EF-8D94-91F3FDCA06F3}"/>
            </c:ext>
          </c:extLst>
        </c:ser>
        <c:ser>
          <c:idx val="4"/>
          <c:order val="2"/>
          <c:tx>
            <c:strRef>
              <c:f>'Figure 4sa'!$F$2</c:f>
              <c:strCache>
                <c:ptCount val="1"/>
                <c:pt idx="0">
                  <c:v>Total animal fats, waste oils, and greases (left axis)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4C5EA9E-C429-4430-B711-3277F30248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958-45EF-8D94-91F3FDCA06F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ECCFFE1-E64A-4B4D-8FC1-7D1F6B1065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958-45EF-8D94-91F3FDCA06F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064A869-208C-417B-990C-6F48A81D41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958-45EF-8D94-91F3FDCA06F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9D1A847-18EB-4D1B-9FB6-AF68E97F2B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958-45EF-8D94-91F3FDCA06F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FF22F8-1146-4D12-B6BA-89D5B676FF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958-45EF-8D94-91F3FDCA06F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BA69266-42B6-416B-B8AC-CC6CD197D2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958-45EF-8D94-91F3FDCA06F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5A460A-656D-4BFA-BCEA-05CD51CC1E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958-45EF-8D94-91F3FDCA06F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0D2FE65-6EB9-48A4-B847-698990826E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958-45EF-8D94-91F3FDCA0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'Figure 4sa'!$A$3:$A$10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4sa'!$F$3:$F$10</c:f>
              <c:numCache>
                <c:formatCode>#,##0</c:formatCode>
                <c:ptCount val="8"/>
                <c:pt idx="0">
                  <c:v>2587.94</c:v>
                </c:pt>
                <c:pt idx="1">
                  <c:v>2607.9899999999998</c:v>
                </c:pt>
                <c:pt idx="2">
                  <c:v>2944.48</c:v>
                </c:pt>
                <c:pt idx="3">
                  <c:v>2457.88</c:v>
                </c:pt>
                <c:pt idx="4">
                  <c:v>2242.88</c:v>
                </c:pt>
                <c:pt idx="5">
                  <c:v>6094.94</c:v>
                </c:pt>
                <c:pt idx="6">
                  <c:v>7878.04</c:v>
                </c:pt>
                <c:pt idx="7">
                  <c:v>11864.87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4sa'!$I$3:$I$10</c15:f>
                <c15:dlblRangeCache>
                  <c:ptCount val="8"/>
                  <c:pt idx="0">
                    <c:v> 23 </c:v>
                  </c:pt>
                  <c:pt idx="1">
                    <c:v> 22 </c:v>
                  </c:pt>
                  <c:pt idx="2">
                    <c:v> 21 </c:v>
                  </c:pt>
                  <c:pt idx="3">
                    <c:v> 19 </c:v>
                  </c:pt>
                  <c:pt idx="4">
                    <c:v> 17 </c:v>
                  </c:pt>
                  <c:pt idx="5">
                    <c:v> 32 </c:v>
                  </c:pt>
                  <c:pt idx="6">
                    <c:v> 34 </c:v>
                  </c:pt>
                  <c:pt idx="7">
                    <c:v> 37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C958-45EF-8D94-91F3FDCA0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763151"/>
        <c:axId val="133749007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Calendar year 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4059562409157765"/>
              <c:y val="0.82017265043704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Biomass-based diesel production </a:t>
                </a:r>
              </a:p>
              <a:p>
                <a:pPr algn="l">
                  <a:defRPr/>
                </a:pPr>
                <a:r>
                  <a:rPr lang="en-US" sz="900" baseline="0"/>
                  <a:t>(billion gallons)</a:t>
                </a:r>
              </a:p>
            </c:rich>
          </c:tx>
          <c:layout>
            <c:manualLayout>
              <c:xMode val="edge"/>
              <c:yMode val="edge"/>
              <c:x val="3.45533496587646E-3"/>
              <c:y val="0.12677966119069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3374900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Feedstock</a:t>
                </a:r>
                <a:r>
                  <a:rPr lang="en-US" sz="900" baseline="0"/>
                  <a:t> use </a:t>
                </a:r>
              </a:p>
              <a:p>
                <a:pPr>
                  <a:defRPr/>
                </a:pPr>
                <a:r>
                  <a:rPr lang="en-US" sz="900" baseline="0"/>
                  <a:t>(billion pounds)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4190413528901242"/>
              <c:y val="0.17079604062519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3763151"/>
        <c:crosses val="max"/>
        <c:crossBetween val="between"/>
        <c:dispUnits>
          <c:builtInUnit val="thousands"/>
        </c:dispUnits>
      </c:valAx>
      <c:catAx>
        <c:axId val="133763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490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854361527896057"/>
          <c:y val="0.13496713527258195"/>
          <c:w val="0.61414784158240221"/>
          <c:h val="0.15333041795883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5sa</a:t>
            </a: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Animal fats, waste oils, and grease usage in biomass-based diesel production</a:t>
            </a:r>
            <a:endParaRPr lang="en-US" sz="1050" b="1"/>
          </a:p>
        </c:rich>
      </c:tx>
      <c:layout>
        <c:manualLayout>
          <c:xMode val="edge"/>
          <c:yMode val="edge"/>
          <c:x val="3.3974743837131447E-3"/>
          <c:y val="9.53133209445997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30922069027948E-2"/>
          <c:y val="0.26218810070685855"/>
          <c:w val="0.88296976971580865"/>
          <c:h val="0.4233033872550052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Figure5sa!$B$2</c:f>
              <c:strCache>
                <c:ptCount val="1"/>
                <c:pt idx="0">
                  <c:v>Tallow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Figure5sa!$A$3:$A$10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Figure5sa!$B$3:$B$10</c:f>
              <c:numCache>
                <c:formatCode>#,##0</c:formatCode>
                <c:ptCount val="8"/>
                <c:pt idx="0">
                  <c:v>331.86</c:v>
                </c:pt>
                <c:pt idx="1">
                  <c:v>343.96</c:v>
                </c:pt>
                <c:pt idx="2">
                  <c:v>484.09</c:v>
                </c:pt>
                <c:pt idx="3">
                  <c:v>292.41000000000003</c:v>
                </c:pt>
                <c:pt idx="4">
                  <c:v>368</c:v>
                </c:pt>
                <c:pt idx="5">
                  <c:v>1621.3770000000002</c:v>
                </c:pt>
                <c:pt idx="6">
                  <c:v>1981.5650000000001</c:v>
                </c:pt>
                <c:pt idx="7">
                  <c:v>4197.6939999999995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42EC-85B4-E29BFC7CC62C}"/>
            </c:ext>
          </c:extLst>
        </c:ser>
        <c:ser>
          <c:idx val="4"/>
          <c:order val="1"/>
          <c:tx>
            <c:strRef>
              <c:f>Figure5sa!$C$2</c:f>
              <c:strCache>
                <c:ptCount val="1"/>
                <c:pt idx="0">
                  <c:v>Grease</c:v>
                </c:pt>
              </c:strCache>
            </c:strRef>
          </c:tx>
          <c:spPr>
            <a:solidFill>
              <a:srgbClr val="FF9933"/>
            </a:solidFill>
            <a:ln w="25400">
              <a:noFill/>
            </a:ln>
            <a:effectLst/>
          </c:spPr>
          <c:invertIfNegative val="0"/>
          <c:cat>
            <c:numRef>
              <c:f>Figure5sa!$A$3:$A$10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Figure5sa!$C$3:$C$10</c:f>
              <c:numCache>
                <c:formatCode>#,##0</c:formatCode>
                <c:ptCount val="8"/>
                <c:pt idx="0">
                  <c:v>1967.5</c:v>
                </c:pt>
                <c:pt idx="1">
                  <c:v>2061.9500000000003</c:v>
                </c:pt>
                <c:pt idx="2">
                  <c:v>2286.0500000000002</c:v>
                </c:pt>
                <c:pt idx="3">
                  <c:v>1981.58</c:v>
                </c:pt>
                <c:pt idx="4">
                  <c:v>1664.88</c:v>
                </c:pt>
                <c:pt idx="5">
                  <c:v>4086.71</c:v>
                </c:pt>
                <c:pt idx="6">
                  <c:v>5673.0730000000003</c:v>
                </c:pt>
                <c:pt idx="7">
                  <c:v>7414.1386970380008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4-42EC-85B4-E29BFC7CC62C}"/>
            </c:ext>
          </c:extLst>
        </c:ser>
        <c:ser>
          <c:idx val="5"/>
          <c:order val="2"/>
          <c:tx>
            <c:strRef>
              <c:f>Figure5sa!$D$2</c:f>
              <c:strCache>
                <c:ptCount val="1"/>
                <c:pt idx="0">
                  <c:v>Poultry fats</c:v>
                </c:pt>
              </c:strCache>
            </c:strRef>
          </c:tx>
          <c:spPr>
            <a:pattFill prst="wdUpDiag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Figure5sa!$A$3:$A$10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Figure5sa!$D$3:$D$10</c:f>
              <c:numCache>
                <c:formatCode>#,##0</c:formatCode>
                <c:ptCount val="8"/>
                <c:pt idx="0">
                  <c:v>219.66999999999996</c:v>
                </c:pt>
                <c:pt idx="1">
                  <c:v>157.96</c:v>
                </c:pt>
                <c:pt idx="2">
                  <c:v>132.91</c:v>
                </c:pt>
                <c:pt idx="3">
                  <c:v>163.41999999999999</c:v>
                </c:pt>
                <c:pt idx="4">
                  <c:v>173</c:v>
                </c:pt>
                <c:pt idx="5">
                  <c:v>308.19954900000005</c:v>
                </c:pt>
                <c:pt idx="6">
                  <c:v>161.572</c:v>
                </c:pt>
                <c:pt idx="7">
                  <c:v>169.17600000000002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4-42EC-85B4-E29BFC7CC62C}"/>
            </c:ext>
          </c:extLst>
        </c:ser>
        <c:ser>
          <c:idx val="0"/>
          <c:order val="3"/>
          <c:tx>
            <c:strRef>
              <c:f>Figure5sa!$E$2</c:f>
              <c:strCache>
                <c:ptCount val="1"/>
                <c:pt idx="0">
                  <c:v>Other fats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Figure5sa!$E$3:$E$10</c:f>
              <c:numCache>
                <c:formatCode>#,##0</c:formatCode>
                <c:ptCount val="8"/>
                <c:pt idx="0">
                  <c:v>68.91</c:v>
                </c:pt>
                <c:pt idx="1">
                  <c:v>44.12</c:v>
                </c:pt>
                <c:pt idx="2">
                  <c:v>41.43</c:v>
                </c:pt>
                <c:pt idx="3">
                  <c:v>20.47</c:v>
                </c:pt>
                <c:pt idx="4">
                  <c:v>37</c:v>
                </c:pt>
                <c:pt idx="5">
                  <c:v>78.649000000000001</c:v>
                </c:pt>
                <c:pt idx="6">
                  <c:v>61.83</c:v>
                </c:pt>
                <c:pt idx="7">
                  <c:v>83.860081000000008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4-42EC-85B4-E29BFC7C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Calendar year 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0743783961874036"/>
              <c:y val="0.79396024878475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Billion pounds</a:t>
                </a:r>
              </a:p>
            </c:rich>
          </c:tx>
          <c:layout>
            <c:manualLayout>
              <c:xMode val="edge"/>
              <c:yMode val="edge"/>
              <c:x val="1.8051537315756224E-3"/>
              <c:y val="0.18261605568706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3925071775084714E-2"/>
          <c:y val="0.16868800490847732"/>
          <c:w val="0.8265729857682258"/>
          <c:h val="0.1280731999652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6sa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effectLst/>
              </a:rPr>
              <a:t>U.S. imports of animal fats,</a:t>
            </a:r>
            <a:r>
              <a:rPr lang="en-US" sz="1100" baseline="0">
                <a:effectLst/>
              </a:rPr>
              <a:t> greases, and processed oils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4394131403416E-3"/>
          <c:y val="6.00871723613733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520017066884335E-2"/>
          <c:y val="0.16780500877372218"/>
          <c:w val="0.91489791526399145"/>
          <c:h val="0.5421703030475308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6sa'!$B$1</c:f>
              <c:strCache>
                <c:ptCount val="1"/>
                <c:pt idx="0">
                  <c:v>Tallow, total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'Figure 6sa'!$A$2:$A$9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6sa'!$B$2:$B$9</c:f>
              <c:numCache>
                <c:formatCode>#,##0_);\(#,##0\)</c:formatCode>
                <c:ptCount val="8"/>
                <c:pt idx="0">
                  <c:v>173.684593302</c:v>
                </c:pt>
                <c:pt idx="1">
                  <c:v>219.81781003599997</c:v>
                </c:pt>
                <c:pt idx="2">
                  <c:v>306.70651393799994</c:v>
                </c:pt>
                <c:pt idx="3">
                  <c:v>423.12081165199993</c:v>
                </c:pt>
                <c:pt idx="4">
                  <c:v>535.8009240099999</c:v>
                </c:pt>
                <c:pt idx="5">
                  <c:v>732.81194014599987</c:v>
                </c:pt>
                <c:pt idx="6">
                  <c:v>1221.320678688</c:v>
                </c:pt>
                <c:pt idx="7">
                  <c:v>1731.2607487119997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9-4E48-B0E7-E66D9BE79DEF}"/>
            </c:ext>
          </c:extLst>
        </c:ser>
        <c:ser>
          <c:idx val="0"/>
          <c:order val="1"/>
          <c:tx>
            <c:strRef>
              <c:f>'Figure 6sa'!$C$1</c:f>
              <c:strCache>
                <c:ptCount val="1"/>
                <c:pt idx="0">
                  <c:v>Greases</c:v>
                </c:pt>
              </c:strCache>
            </c:strRef>
          </c:tx>
          <c:spPr>
            <a:pattFill prst="wdUpDiag">
              <a:fgClr>
                <a:schemeClr val="accent3">
                  <a:lumMod val="50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'Figure 6sa'!$A$2:$A$9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6sa'!$C$2:$C$9</c:f>
              <c:numCache>
                <c:formatCode>#,##0_);\(#,##0\)</c:formatCode>
                <c:ptCount val="8"/>
                <c:pt idx="0">
                  <c:v>53.158899749999996</c:v>
                </c:pt>
                <c:pt idx="1">
                  <c:v>46.720968425999992</c:v>
                </c:pt>
                <c:pt idx="2">
                  <c:v>63.810521279999996</c:v>
                </c:pt>
                <c:pt idx="3">
                  <c:v>46.394243741999993</c:v>
                </c:pt>
                <c:pt idx="4">
                  <c:v>39.288312558000001</c:v>
                </c:pt>
                <c:pt idx="5">
                  <c:v>49.94037501199999</c:v>
                </c:pt>
                <c:pt idx="6">
                  <c:v>77.679344775999994</c:v>
                </c:pt>
                <c:pt idx="7">
                  <c:v>121.97721535999999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9-4E48-B0E7-E66D9BE79DEF}"/>
            </c:ext>
          </c:extLst>
        </c:ser>
        <c:ser>
          <c:idx val="1"/>
          <c:order val="2"/>
          <c:tx>
            <c:strRef>
              <c:f>'Figure 6sa'!$D$1</c:f>
              <c:strCache>
                <c:ptCount val="1"/>
                <c:pt idx="0">
                  <c:v>Processed oils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'Figure 6sa'!$A$2:$A$9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6sa'!$D$2:$D$9</c:f>
              <c:numCache>
                <c:formatCode>#,##0_);\(#,##0\)</c:formatCode>
                <c:ptCount val="8"/>
                <c:pt idx="0">
                  <c:v>49.753643697999998</c:v>
                </c:pt>
                <c:pt idx="1">
                  <c:v>83.687375199999991</c:v>
                </c:pt>
                <c:pt idx="2">
                  <c:v>136.88110794600001</c:v>
                </c:pt>
                <c:pt idx="3">
                  <c:v>191.762697764</c:v>
                </c:pt>
                <c:pt idx="4">
                  <c:v>181.77598962599998</c:v>
                </c:pt>
                <c:pt idx="5">
                  <c:v>283.65390490799996</c:v>
                </c:pt>
                <c:pt idx="6">
                  <c:v>870.74773829999992</c:v>
                </c:pt>
                <c:pt idx="7">
                  <c:v>3019.5952615399997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9-4E48-B0E7-E66D9BE79DEF}"/>
            </c:ext>
          </c:extLst>
        </c:ser>
        <c:ser>
          <c:idx val="3"/>
          <c:order val="3"/>
          <c:tx>
            <c:strRef>
              <c:f>'Figure 6sa'!$E$1</c:f>
              <c:strCache>
                <c:ptCount val="1"/>
                <c:pt idx="0">
                  <c:v>Other fats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'Figure 6sa'!$A$2:$A$9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6sa'!$E$2:$E$9</c:f>
              <c:numCache>
                <c:formatCode>#,##0_);\(#,##0\)</c:formatCode>
                <c:ptCount val="8"/>
                <c:pt idx="0">
                  <c:v>11.649653003999997</c:v>
                </c:pt>
                <c:pt idx="1">
                  <c:v>17.098591796000001</c:v>
                </c:pt>
                <c:pt idx="2">
                  <c:v>16.415159595999999</c:v>
                </c:pt>
                <c:pt idx="3">
                  <c:v>21.427804089999999</c:v>
                </c:pt>
                <c:pt idx="4">
                  <c:v>16.243640159999998</c:v>
                </c:pt>
                <c:pt idx="5">
                  <c:v>19.715255274</c:v>
                </c:pt>
                <c:pt idx="6">
                  <c:v>38.302406493999996</c:v>
                </c:pt>
                <c:pt idx="7">
                  <c:v>40.850947214000001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49-4E48-B0E7-E66D9BE7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Calendar year (CY</a:t>
                </a:r>
                <a:r>
                  <a:rPr lang="en-US" sz="900"/>
                  <a:t>)</a:t>
                </a:r>
              </a:p>
            </c:rich>
          </c:tx>
          <c:layout>
            <c:manualLayout>
              <c:xMode val="edge"/>
              <c:yMode val="edge"/>
              <c:x val="0.42752986003105564"/>
              <c:y val="0.817085861318717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Billion pounds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6385355676684E-3"/>
              <c:y val="9.333139398513777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thousands"/>
        </c:dispUnits>
      </c:valAx>
    </c:plotArea>
    <c:legend>
      <c:legendPos val="t"/>
      <c:layout>
        <c:manualLayout>
          <c:xMode val="edge"/>
          <c:yMode val="edge"/>
          <c:x val="0.17201107139840344"/>
          <c:y val="0.16249405758724181"/>
          <c:w val="0.75195550900201169"/>
          <c:h val="5.2327859840416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7sa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imports of processed oils by origin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1.4994394131403416E-3"/>
          <c:y val="6.00871723613733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882553017925417E-2"/>
          <c:y val="0.18580152920388568"/>
          <c:w val="0.92972927278651485"/>
          <c:h val="0.524751443298129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7sa'!$B$1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'Figure 7sa'!$A$2:$A$30</c:f>
              <c:numCache>
                <c:formatCode>[$-409]mmm\-yy;@</c:formatCode>
                <c:ptCount val="29"/>
                <c:pt idx="0">
                  <c:v>44583</c:v>
                </c:pt>
                <c:pt idx="1">
                  <c:v>44615</c:v>
                </c:pt>
                <c:pt idx="2">
                  <c:v>44647</c:v>
                </c:pt>
                <c:pt idx="3">
                  <c:v>44679</c:v>
                </c:pt>
                <c:pt idx="4">
                  <c:v>44711</c:v>
                </c:pt>
                <c:pt idx="5">
                  <c:v>44713</c:v>
                </c:pt>
                <c:pt idx="6">
                  <c:v>44743</c:v>
                </c:pt>
                <c:pt idx="7">
                  <c:v>44775</c:v>
                </c:pt>
                <c:pt idx="8">
                  <c:v>44807</c:v>
                </c:pt>
                <c:pt idx="9">
                  <c:v>44839</c:v>
                </c:pt>
                <c:pt idx="10">
                  <c:v>44871</c:v>
                </c:pt>
                <c:pt idx="11">
                  <c:v>44903</c:v>
                </c:pt>
                <c:pt idx="12">
                  <c:v>44935</c:v>
                </c:pt>
                <c:pt idx="13">
                  <c:v>44967</c:v>
                </c:pt>
                <c:pt idx="14">
                  <c:v>44999</c:v>
                </c:pt>
                <c:pt idx="15">
                  <c:v>45031</c:v>
                </c:pt>
                <c:pt idx="16">
                  <c:v>45063</c:v>
                </c:pt>
                <c:pt idx="17">
                  <c:v>45095</c:v>
                </c:pt>
                <c:pt idx="18">
                  <c:v>45127</c:v>
                </c:pt>
                <c:pt idx="19">
                  <c:v>45159</c:v>
                </c:pt>
                <c:pt idx="20">
                  <c:v>45191</c:v>
                </c:pt>
                <c:pt idx="21">
                  <c:v>45223</c:v>
                </c:pt>
                <c:pt idx="22">
                  <c:v>45255</c:v>
                </c:pt>
                <c:pt idx="23">
                  <c:v>45287</c:v>
                </c:pt>
                <c:pt idx="24">
                  <c:v>45319</c:v>
                </c:pt>
                <c:pt idx="25">
                  <c:v>45351</c:v>
                </c:pt>
                <c:pt idx="26">
                  <c:v>45352</c:v>
                </c:pt>
                <c:pt idx="27">
                  <c:v>45384</c:v>
                </c:pt>
                <c:pt idx="28">
                  <c:v>45436</c:v>
                </c:pt>
              </c:numCache>
            </c:numRef>
          </c:cat>
          <c:val>
            <c:numRef>
              <c:f>'Figure 7sa'!$B$2:$B$30</c:f>
              <c:numCache>
                <c:formatCode>#,##0</c:formatCode>
                <c:ptCount val="29"/>
                <c:pt idx="0">
                  <c:v>8.8102429799999999</c:v>
                </c:pt>
                <c:pt idx="1">
                  <c:v>0</c:v>
                </c:pt>
                <c:pt idx="2">
                  <c:v>0</c:v>
                </c:pt>
                <c:pt idx="3">
                  <c:v>9.0143889399999999</c:v>
                </c:pt>
                <c:pt idx="4">
                  <c:v>0</c:v>
                </c:pt>
                <c:pt idx="5">
                  <c:v>21.2402187</c:v>
                </c:pt>
                <c:pt idx="6">
                  <c:v>0</c:v>
                </c:pt>
                <c:pt idx="7">
                  <c:v>56.486922579999998</c:v>
                </c:pt>
                <c:pt idx="8">
                  <c:v>2.5255897599999999</c:v>
                </c:pt>
                <c:pt idx="9">
                  <c:v>56.677840939999996</c:v>
                </c:pt>
                <c:pt idx="10">
                  <c:v>23.750155800000002</c:v>
                </c:pt>
                <c:pt idx="11">
                  <c:v>34.77469902</c:v>
                </c:pt>
                <c:pt idx="12" formatCode="General">
                  <c:v>0</c:v>
                </c:pt>
                <c:pt idx="13" formatCode="#,##0.00">
                  <c:v>15.846885260000001</c:v>
                </c:pt>
                <c:pt idx="14" formatCode="#,##0.00">
                  <c:v>16.818452480000001</c:v>
                </c:pt>
                <c:pt idx="15" formatCode="#,##0.00">
                  <c:v>46.973853119999994</c:v>
                </c:pt>
                <c:pt idx="16" formatCode="#,##0.00">
                  <c:v>4.7405513800000003</c:v>
                </c:pt>
                <c:pt idx="17" formatCode="#,##0.00">
                  <c:v>10.15196254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#,##0.00">
                  <c:v>48.187926340000004</c:v>
                </c:pt>
                <c:pt idx="21" formatCode="#,##0.00">
                  <c:v>33.493826420000005</c:v>
                </c:pt>
                <c:pt idx="22" formatCode="General">
                  <c:v>0</c:v>
                </c:pt>
                <c:pt idx="23" formatCode="#,##0.00">
                  <c:v>28.009663460000002</c:v>
                </c:pt>
                <c:pt idx="24" formatCode="General">
                  <c:v>0</c:v>
                </c:pt>
                <c:pt idx="25" formatCode="#,##0.00">
                  <c:v>4.7963277599999996</c:v>
                </c:pt>
                <c:pt idx="26" formatCode="#,##0.00">
                  <c:v>21.675186279999998</c:v>
                </c:pt>
                <c:pt idx="27" formatCode="General">
                  <c:v>2.31483E-2</c:v>
                </c:pt>
                <c:pt idx="2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B4-40DD-B647-1995CC85BF02}"/>
            </c:ext>
          </c:extLst>
        </c:ser>
        <c:ser>
          <c:idx val="0"/>
          <c:order val="1"/>
          <c:tx>
            <c:strRef>
              <c:f>'Figure 7sa'!$C$1</c:f>
              <c:strCache>
                <c:ptCount val="1"/>
                <c:pt idx="0">
                  <c:v>Canada</c:v>
                </c:pt>
              </c:strCache>
            </c:strRef>
          </c:tx>
          <c:invertIfNegative val="0"/>
          <c:cat>
            <c:numRef>
              <c:f>'Figure 7sa'!$A$2:$A$30</c:f>
              <c:numCache>
                <c:formatCode>[$-409]mmm\-yy;@</c:formatCode>
                <c:ptCount val="29"/>
                <c:pt idx="0">
                  <c:v>44583</c:v>
                </c:pt>
                <c:pt idx="1">
                  <c:v>44615</c:v>
                </c:pt>
                <c:pt idx="2">
                  <c:v>44647</c:v>
                </c:pt>
                <c:pt idx="3">
                  <c:v>44679</c:v>
                </c:pt>
                <c:pt idx="4">
                  <c:v>44711</c:v>
                </c:pt>
                <c:pt idx="5">
                  <c:v>44713</c:v>
                </c:pt>
                <c:pt idx="6">
                  <c:v>44743</c:v>
                </c:pt>
                <c:pt idx="7">
                  <c:v>44775</c:v>
                </c:pt>
                <c:pt idx="8">
                  <c:v>44807</c:v>
                </c:pt>
                <c:pt idx="9">
                  <c:v>44839</c:v>
                </c:pt>
                <c:pt idx="10">
                  <c:v>44871</c:v>
                </c:pt>
                <c:pt idx="11">
                  <c:v>44903</c:v>
                </c:pt>
                <c:pt idx="12">
                  <c:v>44935</c:v>
                </c:pt>
                <c:pt idx="13">
                  <c:v>44967</c:v>
                </c:pt>
                <c:pt idx="14">
                  <c:v>44999</c:v>
                </c:pt>
                <c:pt idx="15">
                  <c:v>45031</c:v>
                </c:pt>
                <c:pt idx="16">
                  <c:v>45063</c:v>
                </c:pt>
                <c:pt idx="17">
                  <c:v>45095</c:v>
                </c:pt>
                <c:pt idx="18">
                  <c:v>45127</c:v>
                </c:pt>
                <c:pt idx="19">
                  <c:v>45159</c:v>
                </c:pt>
                <c:pt idx="20">
                  <c:v>45191</c:v>
                </c:pt>
                <c:pt idx="21">
                  <c:v>45223</c:v>
                </c:pt>
                <c:pt idx="22">
                  <c:v>45255</c:v>
                </c:pt>
                <c:pt idx="23">
                  <c:v>45287</c:v>
                </c:pt>
                <c:pt idx="24">
                  <c:v>45319</c:v>
                </c:pt>
                <c:pt idx="25">
                  <c:v>45351</c:v>
                </c:pt>
                <c:pt idx="26">
                  <c:v>45352</c:v>
                </c:pt>
                <c:pt idx="27">
                  <c:v>45384</c:v>
                </c:pt>
                <c:pt idx="28">
                  <c:v>45436</c:v>
                </c:pt>
              </c:numCache>
            </c:numRef>
          </c:cat>
          <c:val>
            <c:numRef>
              <c:f>'Figure 7sa'!$C$2:$C$30</c:f>
              <c:numCache>
                <c:formatCode>#,##0</c:formatCode>
                <c:ptCount val="29"/>
                <c:pt idx="0">
                  <c:v>34.238540299999997</c:v>
                </c:pt>
                <c:pt idx="1">
                  <c:v>26.209166639999996</c:v>
                </c:pt>
                <c:pt idx="2">
                  <c:v>42.074129620000001</c:v>
                </c:pt>
                <c:pt idx="3">
                  <c:v>30.541205639999998</c:v>
                </c:pt>
                <c:pt idx="4">
                  <c:v>54.795773920000002</c:v>
                </c:pt>
                <c:pt idx="5">
                  <c:v>56.852445259999996</c:v>
                </c:pt>
                <c:pt idx="6">
                  <c:v>46.867370940000001</c:v>
                </c:pt>
                <c:pt idx="7">
                  <c:v>45.285570440000001</c:v>
                </c:pt>
                <c:pt idx="8">
                  <c:v>33.400792299999999</c:v>
                </c:pt>
                <c:pt idx="9">
                  <c:v>39.954627180000003</c:v>
                </c:pt>
                <c:pt idx="10">
                  <c:v>54.945466259999996</c:v>
                </c:pt>
                <c:pt idx="11">
                  <c:v>46.608550899999997</c:v>
                </c:pt>
                <c:pt idx="12" formatCode="#,##0.00">
                  <c:v>43.616908699999996</c:v>
                </c:pt>
                <c:pt idx="13" formatCode="#,##0.00">
                  <c:v>32.396597</c:v>
                </c:pt>
                <c:pt idx="14" formatCode="#,##0.00">
                  <c:v>47.873550379999998</c:v>
                </c:pt>
                <c:pt idx="15" formatCode="#,##0.00">
                  <c:v>44.006241059999994</c:v>
                </c:pt>
                <c:pt idx="16" formatCode="#,##0.00">
                  <c:v>81.690130239999988</c:v>
                </c:pt>
                <c:pt idx="17" formatCode="#,##0.00">
                  <c:v>42.4506753</c:v>
                </c:pt>
                <c:pt idx="18" formatCode="#,##0.00">
                  <c:v>35.482375619999999</c:v>
                </c:pt>
                <c:pt idx="19" formatCode="#,##0.00">
                  <c:v>53.938184519999993</c:v>
                </c:pt>
                <c:pt idx="20" formatCode="#,##0.00">
                  <c:v>38.764143179999998</c:v>
                </c:pt>
                <c:pt idx="21" formatCode="#,##0.00">
                  <c:v>69.612890519999993</c:v>
                </c:pt>
                <c:pt idx="22" formatCode="#,##0.00">
                  <c:v>57.249052799999994</c:v>
                </c:pt>
                <c:pt idx="23" formatCode="#,##0.00">
                  <c:v>44.46876614</c:v>
                </c:pt>
                <c:pt idx="24" formatCode="#,##0.00">
                  <c:v>63.310159579999997</c:v>
                </c:pt>
                <c:pt idx="25" formatCode="#,##0.00">
                  <c:v>35.371484239999994</c:v>
                </c:pt>
                <c:pt idx="26" formatCode="#,##0.00">
                  <c:v>40.788847820000001</c:v>
                </c:pt>
                <c:pt idx="27" formatCode="#,##0.00">
                  <c:v>62.154949179999996</c:v>
                </c:pt>
                <c:pt idx="28" formatCode="#,##0.00">
                  <c:v>32.234999819999999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B4-40DD-B647-1995CC85BF02}"/>
            </c:ext>
          </c:extLst>
        </c:ser>
        <c:ser>
          <c:idx val="1"/>
          <c:order val="2"/>
          <c:tx>
            <c:strRef>
              <c:f>'Figure 7sa'!$D$1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'Figure 7sa'!$A$2:$A$30</c:f>
              <c:numCache>
                <c:formatCode>[$-409]mmm\-yy;@</c:formatCode>
                <c:ptCount val="29"/>
                <c:pt idx="0">
                  <c:v>44583</c:v>
                </c:pt>
                <c:pt idx="1">
                  <c:v>44615</c:v>
                </c:pt>
                <c:pt idx="2">
                  <c:v>44647</c:v>
                </c:pt>
                <c:pt idx="3">
                  <c:v>44679</c:v>
                </c:pt>
                <c:pt idx="4">
                  <c:v>44711</c:v>
                </c:pt>
                <c:pt idx="5">
                  <c:v>44713</c:v>
                </c:pt>
                <c:pt idx="6">
                  <c:v>44743</c:v>
                </c:pt>
                <c:pt idx="7">
                  <c:v>44775</c:v>
                </c:pt>
                <c:pt idx="8">
                  <c:v>44807</c:v>
                </c:pt>
                <c:pt idx="9">
                  <c:v>44839</c:v>
                </c:pt>
                <c:pt idx="10">
                  <c:v>44871</c:v>
                </c:pt>
                <c:pt idx="11">
                  <c:v>44903</c:v>
                </c:pt>
                <c:pt idx="12">
                  <c:v>44935</c:v>
                </c:pt>
                <c:pt idx="13">
                  <c:v>44967</c:v>
                </c:pt>
                <c:pt idx="14">
                  <c:v>44999</c:v>
                </c:pt>
                <c:pt idx="15">
                  <c:v>45031</c:v>
                </c:pt>
                <c:pt idx="16">
                  <c:v>45063</c:v>
                </c:pt>
                <c:pt idx="17">
                  <c:v>45095</c:v>
                </c:pt>
                <c:pt idx="18">
                  <c:v>45127</c:v>
                </c:pt>
                <c:pt idx="19">
                  <c:v>45159</c:v>
                </c:pt>
                <c:pt idx="20">
                  <c:v>45191</c:v>
                </c:pt>
                <c:pt idx="21">
                  <c:v>45223</c:v>
                </c:pt>
                <c:pt idx="22">
                  <c:v>45255</c:v>
                </c:pt>
                <c:pt idx="23">
                  <c:v>45287</c:v>
                </c:pt>
                <c:pt idx="24">
                  <c:v>45319</c:v>
                </c:pt>
                <c:pt idx="25">
                  <c:v>45351</c:v>
                </c:pt>
                <c:pt idx="26">
                  <c:v>45352</c:v>
                </c:pt>
                <c:pt idx="27">
                  <c:v>45384</c:v>
                </c:pt>
                <c:pt idx="28">
                  <c:v>45436</c:v>
                </c:pt>
              </c:numCache>
            </c:numRef>
          </c:cat>
          <c:val>
            <c:numRef>
              <c:f>'Figure 7sa'!$D$2:$D$30</c:f>
              <c:numCache>
                <c:formatCode>#,##0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9.0388599999999986E-2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1.2786679999999998E-2</c:v>
                </c:pt>
                <c:pt idx="11">
                  <c:v>0</c:v>
                </c:pt>
                <c:pt idx="12" formatCode="#,##0.00">
                  <c:v>83.178235239999992</c:v>
                </c:pt>
                <c:pt idx="13" formatCode="#,##0.00">
                  <c:v>90.261394580000001</c:v>
                </c:pt>
                <c:pt idx="14" formatCode="#,##0.00">
                  <c:v>114.17138387999999</c:v>
                </c:pt>
                <c:pt idx="15" formatCode="General">
                  <c:v>0</c:v>
                </c:pt>
                <c:pt idx="16" formatCode="#,##0.00">
                  <c:v>137.64706697999998</c:v>
                </c:pt>
                <c:pt idx="17" formatCode="#,##0.00">
                  <c:v>70.60209454000001</c:v>
                </c:pt>
                <c:pt idx="18" formatCode="#,##0.00">
                  <c:v>59.040069840000001</c:v>
                </c:pt>
                <c:pt idx="19" formatCode="#,##0.00">
                  <c:v>167.70127647999999</c:v>
                </c:pt>
                <c:pt idx="20" formatCode="#,##0.00">
                  <c:v>218.81911622000001</c:v>
                </c:pt>
                <c:pt idx="21" formatCode="#,##0.00">
                  <c:v>175.15965873999997</c:v>
                </c:pt>
                <c:pt idx="22" formatCode="#,##0.00">
                  <c:v>144.80893054000001</c:v>
                </c:pt>
                <c:pt idx="23" formatCode="#,##0.00">
                  <c:v>254.50144906</c:v>
                </c:pt>
                <c:pt idx="24" formatCode="#,##0.00">
                  <c:v>361.51141030000002</c:v>
                </c:pt>
                <c:pt idx="25" formatCode="General">
                  <c:v>0</c:v>
                </c:pt>
                <c:pt idx="26" formatCode="#,##0.00">
                  <c:v>396.54823626000001</c:v>
                </c:pt>
                <c:pt idx="27" formatCode="#,##0.00">
                  <c:v>102.76412209999999</c:v>
                </c:pt>
                <c:pt idx="28" formatCode="#,##0.00">
                  <c:v>175.41406958000002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B4-40DD-B647-1995CC85BF02}"/>
            </c:ext>
          </c:extLst>
        </c:ser>
        <c:ser>
          <c:idx val="3"/>
          <c:order val="3"/>
          <c:tx>
            <c:strRef>
              <c:f>'Figure 7sa'!$E$1</c:f>
              <c:strCache>
                <c:ptCount val="1"/>
                <c:pt idx="0">
                  <c:v>Chile</c:v>
                </c:pt>
              </c:strCache>
            </c:strRef>
          </c:tx>
          <c:spPr>
            <a:pattFill prst="dkUpDiag">
              <a:fgClr>
                <a:srgbClr val="7030A0"/>
              </a:fgClr>
              <a:bgClr>
                <a:schemeClr val="bg1"/>
              </a:bgClr>
            </a:pattFill>
          </c:spPr>
          <c:invertIfNegative val="0"/>
          <c:cat>
            <c:numRef>
              <c:f>'Figure 7sa'!$A$2:$A$30</c:f>
              <c:numCache>
                <c:formatCode>[$-409]mmm\-yy;@</c:formatCode>
                <c:ptCount val="29"/>
                <c:pt idx="0">
                  <c:v>44583</c:v>
                </c:pt>
                <c:pt idx="1">
                  <c:v>44615</c:v>
                </c:pt>
                <c:pt idx="2">
                  <c:v>44647</c:v>
                </c:pt>
                <c:pt idx="3">
                  <c:v>44679</c:v>
                </c:pt>
                <c:pt idx="4">
                  <c:v>44711</c:v>
                </c:pt>
                <c:pt idx="5">
                  <c:v>44713</c:v>
                </c:pt>
                <c:pt idx="6">
                  <c:v>44743</c:v>
                </c:pt>
                <c:pt idx="7">
                  <c:v>44775</c:v>
                </c:pt>
                <c:pt idx="8">
                  <c:v>44807</c:v>
                </c:pt>
                <c:pt idx="9">
                  <c:v>44839</c:v>
                </c:pt>
                <c:pt idx="10">
                  <c:v>44871</c:v>
                </c:pt>
                <c:pt idx="11">
                  <c:v>44903</c:v>
                </c:pt>
                <c:pt idx="12">
                  <c:v>44935</c:v>
                </c:pt>
                <c:pt idx="13">
                  <c:v>44967</c:v>
                </c:pt>
                <c:pt idx="14">
                  <c:v>44999</c:v>
                </c:pt>
                <c:pt idx="15">
                  <c:v>45031</c:v>
                </c:pt>
                <c:pt idx="16">
                  <c:v>45063</c:v>
                </c:pt>
                <c:pt idx="17">
                  <c:v>45095</c:v>
                </c:pt>
                <c:pt idx="18">
                  <c:v>45127</c:v>
                </c:pt>
                <c:pt idx="19">
                  <c:v>45159</c:v>
                </c:pt>
                <c:pt idx="20">
                  <c:v>45191</c:v>
                </c:pt>
                <c:pt idx="21">
                  <c:v>45223</c:v>
                </c:pt>
                <c:pt idx="22">
                  <c:v>45255</c:v>
                </c:pt>
                <c:pt idx="23">
                  <c:v>45287</c:v>
                </c:pt>
                <c:pt idx="24">
                  <c:v>45319</c:v>
                </c:pt>
                <c:pt idx="25">
                  <c:v>45351</c:v>
                </c:pt>
                <c:pt idx="26">
                  <c:v>45352</c:v>
                </c:pt>
                <c:pt idx="27">
                  <c:v>45384</c:v>
                </c:pt>
                <c:pt idx="28">
                  <c:v>45436</c:v>
                </c:pt>
              </c:numCache>
            </c:numRef>
          </c:cat>
          <c:val>
            <c:numRef>
              <c:f>'Figure 7sa'!$E$2:$E$30</c:f>
              <c:numCache>
                <c:formatCode>#,##0</c:formatCode>
                <c:ptCount val="29"/>
                <c:pt idx="0">
                  <c:v>0.32672171999999999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6.7573194599999997</c:v>
                </c:pt>
                <c:pt idx="12" formatCode="General">
                  <c:v>0.56790496000000013</c:v>
                </c:pt>
                <c:pt idx="13" formatCode="#,##0.00">
                  <c:v>21.525714399999998</c:v>
                </c:pt>
                <c:pt idx="14" formatCode="#,##0.00">
                  <c:v>15.937935239999998</c:v>
                </c:pt>
                <c:pt idx="15" formatCode="#,##0.00">
                  <c:v>25.221946759999998</c:v>
                </c:pt>
                <c:pt idx="16" formatCode="#,##0.00">
                  <c:v>16.135026480000001</c:v>
                </c:pt>
                <c:pt idx="17" formatCode="#,##0.00">
                  <c:v>6.3318316599999989</c:v>
                </c:pt>
                <c:pt idx="18" formatCode="#,##0.00">
                  <c:v>15.715711560000001</c:v>
                </c:pt>
                <c:pt idx="19" formatCode="#,##0.00">
                  <c:v>13.097308139999999</c:v>
                </c:pt>
                <c:pt idx="20" formatCode="General">
                  <c:v>1.1042841399999999</c:v>
                </c:pt>
                <c:pt idx="21" formatCode="#,##0.00">
                  <c:v>31.269825939999997</c:v>
                </c:pt>
                <c:pt idx="22" formatCode="#,##0.00">
                  <c:v>31.760349439999999</c:v>
                </c:pt>
                <c:pt idx="23" formatCode="#,##0.00">
                  <c:v>11.3580992</c:v>
                </c:pt>
                <c:pt idx="24" formatCode="General">
                  <c:v>0</c:v>
                </c:pt>
                <c:pt idx="25" formatCode="General">
                  <c:v>1.7619163200000001</c:v>
                </c:pt>
                <c:pt idx="26" formatCode="#,##0.00">
                  <c:v>14.198726299999999</c:v>
                </c:pt>
                <c:pt idx="27" formatCode="#,##0.00">
                  <c:v>8.4824189599999986</c:v>
                </c:pt>
                <c:pt idx="2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B4-40DD-B647-1995CC85BF02}"/>
            </c:ext>
          </c:extLst>
        </c:ser>
        <c:ser>
          <c:idx val="5"/>
          <c:order val="4"/>
          <c:tx>
            <c:strRef>
              <c:f>'Figure 7sa'!$F$1</c:f>
              <c:strCache>
                <c:ptCount val="1"/>
                <c:pt idx="0">
                  <c:v>New Zealand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'Figure 7sa'!$A$2:$A$30</c:f>
              <c:numCache>
                <c:formatCode>[$-409]mmm\-yy;@</c:formatCode>
                <c:ptCount val="29"/>
                <c:pt idx="0">
                  <c:v>44583</c:v>
                </c:pt>
                <c:pt idx="1">
                  <c:v>44615</c:v>
                </c:pt>
                <c:pt idx="2">
                  <c:v>44647</c:v>
                </c:pt>
                <c:pt idx="3">
                  <c:v>44679</c:v>
                </c:pt>
                <c:pt idx="4">
                  <c:v>44711</c:v>
                </c:pt>
                <c:pt idx="5">
                  <c:v>44713</c:v>
                </c:pt>
                <c:pt idx="6">
                  <c:v>44743</c:v>
                </c:pt>
                <c:pt idx="7">
                  <c:v>44775</c:v>
                </c:pt>
                <c:pt idx="8">
                  <c:v>44807</c:v>
                </c:pt>
                <c:pt idx="9">
                  <c:v>44839</c:v>
                </c:pt>
                <c:pt idx="10">
                  <c:v>44871</c:v>
                </c:pt>
                <c:pt idx="11">
                  <c:v>44903</c:v>
                </c:pt>
                <c:pt idx="12">
                  <c:v>44935</c:v>
                </c:pt>
                <c:pt idx="13">
                  <c:v>44967</c:v>
                </c:pt>
                <c:pt idx="14">
                  <c:v>44999</c:v>
                </c:pt>
                <c:pt idx="15">
                  <c:v>45031</c:v>
                </c:pt>
                <c:pt idx="16">
                  <c:v>45063</c:v>
                </c:pt>
                <c:pt idx="17">
                  <c:v>45095</c:v>
                </c:pt>
                <c:pt idx="18">
                  <c:v>45127</c:v>
                </c:pt>
                <c:pt idx="19">
                  <c:v>45159</c:v>
                </c:pt>
                <c:pt idx="20">
                  <c:v>45191</c:v>
                </c:pt>
                <c:pt idx="21">
                  <c:v>45223</c:v>
                </c:pt>
                <c:pt idx="22">
                  <c:v>45255</c:v>
                </c:pt>
                <c:pt idx="23">
                  <c:v>45287</c:v>
                </c:pt>
                <c:pt idx="24">
                  <c:v>45319</c:v>
                </c:pt>
                <c:pt idx="25">
                  <c:v>45351</c:v>
                </c:pt>
                <c:pt idx="26">
                  <c:v>45352</c:v>
                </c:pt>
                <c:pt idx="27">
                  <c:v>45384</c:v>
                </c:pt>
                <c:pt idx="28">
                  <c:v>45436</c:v>
                </c:pt>
              </c:numCache>
            </c:numRef>
          </c:cat>
          <c:val>
            <c:numRef>
              <c:f>'Figure 7sa'!$F$2:$F$30</c:f>
              <c:numCache>
                <c:formatCode>#,##0</c:formatCode>
                <c:ptCount val="29"/>
                <c:pt idx="0">
                  <c:v>8.4462635199999987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37.513253140000003</c:v>
                </c:pt>
                <c:pt idx="10">
                  <c:v>10.64667478</c:v>
                </c:pt>
                <c:pt idx="11">
                  <c:v>20.112345340000001</c:v>
                </c:pt>
                <c:pt idx="12" formatCode="General">
                  <c:v>0</c:v>
                </c:pt>
                <c:pt idx="13" formatCode="#,##0.00">
                  <c:v>22.893668699999999</c:v>
                </c:pt>
                <c:pt idx="14" formatCode="#,##0.00">
                  <c:v>25.8797994</c:v>
                </c:pt>
                <c:pt idx="15" formatCode="#,##0.00">
                  <c:v>6.6140204599999999</c:v>
                </c:pt>
                <c:pt idx="16" formatCode="#,##0.00">
                  <c:v>15.170513980000001</c:v>
                </c:pt>
                <c:pt idx="17" formatCode="#,##0.00">
                  <c:v>31.733453319999999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#,##0.00">
                  <c:v>10.171583480000001</c:v>
                </c:pt>
                <c:pt idx="21" formatCode="#,##0.00">
                  <c:v>41.799877379999998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#,##0.00">
                  <c:v>36.097679479999996</c:v>
                </c:pt>
                <c:pt idx="26" formatCode="#,##0.00">
                  <c:v>19.155769399999997</c:v>
                </c:pt>
                <c:pt idx="27" formatCode="General">
                  <c:v>0</c:v>
                </c:pt>
                <c:pt idx="2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B4-40DD-B647-1995CC85BF02}"/>
            </c:ext>
          </c:extLst>
        </c:ser>
        <c:ser>
          <c:idx val="10"/>
          <c:order val="5"/>
          <c:tx>
            <c:strRef>
              <c:f>'Figure 7sa'!$G$1</c:f>
              <c:strCache>
                <c:ptCount val="1"/>
                <c:pt idx="0">
                  <c:v>ROW</c:v>
                </c:pt>
              </c:strCache>
            </c:strRef>
          </c:tx>
          <c:invertIfNegative val="0"/>
          <c:cat>
            <c:numRef>
              <c:f>'Figure 7sa'!$A$2:$A$30</c:f>
              <c:numCache>
                <c:formatCode>[$-409]mmm\-yy;@</c:formatCode>
                <c:ptCount val="29"/>
                <c:pt idx="0">
                  <c:v>44583</c:v>
                </c:pt>
                <c:pt idx="1">
                  <c:v>44615</c:v>
                </c:pt>
                <c:pt idx="2">
                  <c:v>44647</c:v>
                </c:pt>
                <c:pt idx="3">
                  <c:v>44679</c:v>
                </c:pt>
                <c:pt idx="4">
                  <c:v>44711</c:v>
                </c:pt>
                <c:pt idx="5">
                  <c:v>44713</c:v>
                </c:pt>
                <c:pt idx="6">
                  <c:v>44743</c:v>
                </c:pt>
                <c:pt idx="7">
                  <c:v>44775</c:v>
                </c:pt>
                <c:pt idx="8">
                  <c:v>44807</c:v>
                </c:pt>
                <c:pt idx="9">
                  <c:v>44839</c:v>
                </c:pt>
                <c:pt idx="10">
                  <c:v>44871</c:v>
                </c:pt>
                <c:pt idx="11">
                  <c:v>44903</c:v>
                </c:pt>
                <c:pt idx="12">
                  <c:v>44935</c:v>
                </c:pt>
                <c:pt idx="13">
                  <c:v>44967</c:v>
                </c:pt>
                <c:pt idx="14">
                  <c:v>44999</c:v>
                </c:pt>
                <c:pt idx="15">
                  <c:v>45031</c:v>
                </c:pt>
                <c:pt idx="16">
                  <c:v>45063</c:v>
                </c:pt>
                <c:pt idx="17">
                  <c:v>45095</c:v>
                </c:pt>
                <c:pt idx="18">
                  <c:v>45127</c:v>
                </c:pt>
                <c:pt idx="19">
                  <c:v>45159</c:v>
                </c:pt>
                <c:pt idx="20">
                  <c:v>45191</c:v>
                </c:pt>
                <c:pt idx="21">
                  <c:v>45223</c:v>
                </c:pt>
                <c:pt idx="22">
                  <c:v>45255</c:v>
                </c:pt>
                <c:pt idx="23">
                  <c:v>45287</c:v>
                </c:pt>
                <c:pt idx="24">
                  <c:v>45319</c:v>
                </c:pt>
                <c:pt idx="25">
                  <c:v>45351</c:v>
                </c:pt>
                <c:pt idx="26">
                  <c:v>45352</c:v>
                </c:pt>
                <c:pt idx="27">
                  <c:v>45384</c:v>
                </c:pt>
                <c:pt idx="28">
                  <c:v>45436</c:v>
                </c:pt>
              </c:numCache>
            </c:numRef>
          </c:cat>
          <c:val>
            <c:numRef>
              <c:f>'Figure 7sa'!$G$2:$G$30</c:f>
              <c:numCache>
                <c:formatCode>#,##0</c:formatCode>
                <c:ptCount val="29"/>
                <c:pt idx="0">
                  <c:v>1.8452502</c:v>
                </c:pt>
                <c:pt idx="1">
                  <c:v>0.63514526000000082</c:v>
                </c:pt>
                <c:pt idx="2">
                  <c:v>6.0251717999999999</c:v>
                </c:pt>
                <c:pt idx="3">
                  <c:v>5.3177156600000046</c:v>
                </c:pt>
                <c:pt idx="4">
                  <c:v>7.7862062799999983</c:v>
                </c:pt>
                <c:pt idx="5">
                  <c:v>2.0207363599999968</c:v>
                </c:pt>
                <c:pt idx="6">
                  <c:v>4.1468525999999999</c:v>
                </c:pt>
                <c:pt idx="7">
                  <c:v>6.6325390999999998</c:v>
                </c:pt>
                <c:pt idx="8">
                  <c:v>2.4164620600000006</c:v>
                </c:pt>
                <c:pt idx="9">
                  <c:v>4.0507320400000024</c:v>
                </c:pt>
                <c:pt idx="10">
                  <c:v>13.039768079999991</c:v>
                </c:pt>
                <c:pt idx="11">
                  <c:v>7.8640286600000122</c:v>
                </c:pt>
                <c:pt idx="12">
                  <c:v>12.718337400000001</c:v>
                </c:pt>
                <c:pt idx="13">
                  <c:v>21.088101300000002</c:v>
                </c:pt>
                <c:pt idx="14">
                  <c:v>5.6801519000000322</c:v>
                </c:pt>
                <c:pt idx="15">
                  <c:v>14.053663619999993</c:v>
                </c:pt>
                <c:pt idx="16">
                  <c:v>17.580582700000001</c:v>
                </c:pt>
                <c:pt idx="17">
                  <c:v>37.251126199999995</c:v>
                </c:pt>
                <c:pt idx="18">
                  <c:v>12.189674319999993</c:v>
                </c:pt>
                <c:pt idx="19">
                  <c:v>52.131073899999997</c:v>
                </c:pt>
                <c:pt idx="20">
                  <c:v>65.879841340000041</c:v>
                </c:pt>
                <c:pt idx="21">
                  <c:v>63.208747980000034</c:v>
                </c:pt>
                <c:pt idx="22">
                  <c:v>7.1834686400000196</c:v>
                </c:pt>
                <c:pt idx="23">
                  <c:v>54.650711239999985</c:v>
                </c:pt>
                <c:pt idx="24">
                  <c:v>109.78643448000004</c:v>
                </c:pt>
                <c:pt idx="25">
                  <c:v>79.000959160000008</c:v>
                </c:pt>
                <c:pt idx="26">
                  <c:v>93.721514280000036</c:v>
                </c:pt>
                <c:pt idx="27">
                  <c:v>101.17835332</c:v>
                </c:pt>
                <c:pt idx="28">
                  <c:v>99.818556039999976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9B4-40DD-B647-1995CC85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Month-Year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4665836932991315"/>
              <c:y val="0.830412131276174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  <c:max val="6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Million pounds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649362147376045E-3"/>
              <c:y val="0.117820530792313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24743415434914"/>
          <c:y val="0.10584291022703127"/>
          <c:w val="0.60094488175545535"/>
          <c:h val="5.2743146689997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8sa</a:t>
            </a:r>
          </a:p>
          <a:p>
            <a:pPr algn="l">
              <a:defRPr sz="1050" spc="0"/>
            </a:pPr>
            <a:r>
              <a:rPr lang="en-US" sz="1050" b="1" i="0" u="none" strike="noStrike" baseline="0">
                <a:effectLst/>
              </a:rPr>
              <a:t>January through May imports by feedstock, 2021–24</a:t>
            </a:r>
            <a:endParaRPr lang="en-US" sz="1050" b="1"/>
          </a:p>
        </c:rich>
      </c:tx>
      <c:layout>
        <c:manualLayout>
          <c:xMode val="edge"/>
          <c:yMode val="edge"/>
          <c:x val="3.3974743837131447E-3"/>
          <c:y val="9.53133209445997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30922069027948E-2"/>
          <c:y val="0.26218810070685855"/>
          <c:w val="0.88296976971580865"/>
          <c:h val="0.4233033872550052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'Figure 8sa'!$A$2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8sa'!$B$1:$C$1</c:f>
              <c:strCache>
                <c:ptCount val="2"/>
                <c:pt idx="0">
                  <c:v>Total tallow</c:v>
                </c:pt>
                <c:pt idx="1">
                  <c:v>Processed oils</c:v>
                </c:pt>
              </c:strCache>
            </c:strRef>
          </c:cat>
          <c:val>
            <c:numRef>
              <c:f>'Figure 8sa'!$B$2:$C$2</c:f>
              <c:numCache>
                <c:formatCode>_(* #,##0_);_(* \(#,##0\);_(* "-"??_);_(@_)</c:formatCode>
                <c:ptCount val="2"/>
                <c:pt idx="0">
                  <c:v>202.59</c:v>
                </c:pt>
                <c:pt idx="1">
                  <c:v>106.87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5-4441-BFD0-11F171109E9B}"/>
            </c:ext>
          </c:extLst>
        </c:ser>
        <c:ser>
          <c:idx val="4"/>
          <c:order val="1"/>
          <c:tx>
            <c:strRef>
              <c:f>'Figure 8sa'!$A$3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8sa'!$B$1:$C$1</c:f>
              <c:strCache>
                <c:ptCount val="2"/>
                <c:pt idx="0">
                  <c:v>Total tallow</c:v>
                </c:pt>
                <c:pt idx="1">
                  <c:v>Processed oils</c:v>
                </c:pt>
              </c:strCache>
            </c:strRef>
          </c:cat>
          <c:val>
            <c:numRef>
              <c:f>'Figure 8sa'!$B$3:$C$3</c:f>
              <c:numCache>
                <c:formatCode>_(* #,##0_);_(* \(#,##0\);_(* "-"??_);_(@_)</c:formatCode>
                <c:ptCount val="2"/>
                <c:pt idx="0">
                  <c:v>373.54</c:v>
                </c:pt>
                <c:pt idx="1">
                  <c:v>236.16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5-4441-BFD0-11F171109E9B}"/>
            </c:ext>
          </c:extLst>
        </c:ser>
        <c:ser>
          <c:idx val="0"/>
          <c:order val="2"/>
          <c:tx>
            <c:strRef>
              <c:f>'Figure 8sa'!$A$4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8sa'!$B$1:$C$1</c:f>
              <c:strCache>
                <c:ptCount val="2"/>
                <c:pt idx="0">
                  <c:v>Total tallow</c:v>
                </c:pt>
                <c:pt idx="1">
                  <c:v>Processed oils</c:v>
                </c:pt>
              </c:strCache>
            </c:strRef>
          </c:cat>
          <c:val>
            <c:numRef>
              <c:f>'Figure 8sa'!$B$4:$C$4</c:f>
              <c:numCache>
                <c:formatCode>_(* #,##0_);_(* \(#,##0\);_(* "-"??_);_(@_)</c:formatCode>
                <c:ptCount val="2"/>
                <c:pt idx="0">
                  <c:v>542.27</c:v>
                </c:pt>
                <c:pt idx="1">
                  <c:v>980.3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5-4441-BFD0-11F171109E9B}"/>
            </c:ext>
          </c:extLst>
        </c:ser>
        <c:ser>
          <c:idx val="1"/>
          <c:order val="3"/>
          <c:tx>
            <c:strRef>
              <c:f>'Figure 8sa'!$A$5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8sa'!$B$1:$C$1</c:f>
              <c:strCache>
                <c:ptCount val="2"/>
                <c:pt idx="0">
                  <c:v>Total tallow</c:v>
                </c:pt>
                <c:pt idx="1">
                  <c:v>Processed oils</c:v>
                </c:pt>
              </c:strCache>
            </c:strRef>
          </c:cat>
          <c:val>
            <c:numRef>
              <c:f>'Figure 8sa'!$B$5:$C$5</c:f>
              <c:numCache>
                <c:formatCode>_(* #,##0_);_(* \(#,##0\);_(* "-"??_);_(@_)</c:formatCode>
                <c:ptCount val="2"/>
                <c:pt idx="0">
                  <c:v>809.31</c:v>
                </c:pt>
                <c:pt idx="1">
                  <c:v>1859.81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5-4441-BFD0-11F171109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pounds</a:t>
                </a:r>
              </a:p>
            </c:rich>
          </c:tx>
          <c:layout>
            <c:manualLayout>
              <c:xMode val="edge"/>
              <c:yMode val="edge"/>
              <c:x val="1.8051537315756224E-3"/>
              <c:y val="0.18261605568706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3925071775084714E-2"/>
          <c:y val="0.16868800490847732"/>
          <c:w val="0.84416056423026209"/>
          <c:h val="0.1280731999652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222885</xdr:colOff>
      <xdr:row>0</xdr:row>
      <xdr:rowOff>15240</xdr:rowOff>
    </xdr:from>
    <xdr:to>
      <xdr:col>13</xdr:col>
      <xdr:colOff>335280</xdr:colOff>
      <xdr:row>22</xdr:row>
      <xdr:rowOff>91440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6ED99047-5D0E-4EF4-B1E3-8B5629F6E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0.00584</cdr:x>
      <cdr:y>0.78272</cdr:y>
    </cdr:from>
    <cdr:to>
      <cdr:x>0.99723</cdr:x>
      <cdr:y>0.98331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32652" y="2847975"/>
          <a:ext cx="5543035" cy="7298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Delta = Arkansas, Louisiana, and Mississippi. East Corn Belt = Illinois, Indiana, Ohio, Michigan, and Wisconsin. West Corn Belt = Iowa, Minnesota, and Missouri. Central Plains = Kansas and Nebraska. Northern Plains = North Dakota and South Dakota. </a:t>
          </a:r>
        </a:p>
        <a:p xmlns:a="http://schemas.openxmlformats.org/drawingml/2006/main"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 USDA, National</a:t>
          </a:r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Statistics Service June </a:t>
          </a:r>
          <a:r>
            <a:rPr lang="en-US" sz="80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Acreage</a:t>
          </a:r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report. </a:t>
          </a:r>
        </a:p>
        <a:p xmlns:a="http://schemas.openxmlformats.org/drawingml/2006/main"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National</a:t>
          </a:r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Statistics Service, Quick Stats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n-US"/>
        </a:p>
      </cdr:txBody>
    </cdr:sp>
  </cdr:relSizeAnchor>
  <cdr:relSizeAnchor xmlns:cdr="http://schemas.openxmlformats.org/drawingml/2006/chartDrawing">
    <cdr:from>
      <cdr:x>0.01448</cdr:x>
      <cdr:y>0.13363</cdr:y>
    </cdr:from>
    <cdr:to>
      <cdr:x>0.16654</cdr:x>
      <cdr:y>0.1804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F2DE771-20AE-430C-AADC-FDC5E004D32C}"/>
            </a:ext>
          </a:extLst>
        </cdr:cNvPr>
        <cdr:cNvSpPr/>
      </cdr:nvSpPr>
      <cdr:spPr bwMode="auto">
        <a:xfrm xmlns:a="http://schemas.openxmlformats.org/drawingml/2006/main">
          <a:off x="76191" y="457200"/>
          <a:ext cx="800111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Million acres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</xdr:colOff>
      <xdr:row>0</xdr:row>
      <xdr:rowOff>76199</xdr:rowOff>
    </xdr:from>
    <xdr:to>
      <xdr:col>15</xdr:col>
      <xdr:colOff>590551</xdr:colOff>
      <xdr:row>23</xdr:row>
      <xdr:rowOff>19050</xdr:rowOff>
    </xdr:to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F66A4A97-F630-6C44-8554-01E6935CF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0.90607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4410075"/>
          <a:ext cx="6674746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n-US" sz="8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800" i="0" baseline="0">
              <a:latin typeface="Arial" panose="020B0604020202020204" pitchFamily="34" charset="0"/>
              <a:cs typeface="Arial" panose="020B0604020202020204" pitchFamily="34" charset="0"/>
            </a:rPr>
            <a:t>USDA, Economic Research Service using data from USDA, World Agricultural Outlook Board, </a:t>
          </a:r>
          <a:r>
            <a:rPr lang="en-US" sz="800" i="1" baseline="0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Estimates, </a:t>
          </a:r>
          <a:r>
            <a:rPr lang="en-US" sz="800" i="0" baseline="0">
              <a:latin typeface="Arial" panose="020B0604020202020204" pitchFamily="34" charset="0"/>
              <a:cs typeface="Arial" panose="020B0604020202020204" pitchFamily="34" charset="0"/>
            </a:rPr>
            <a:t>July 2024.</a:t>
          </a:r>
          <a:endParaRPr lang="en-US" sz="800" b="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163830</xdr:colOff>
      <xdr:row>0</xdr:row>
      <xdr:rowOff>0</xdr:rowOff>
    </xdr:from>
    <xdr:to>
      <xdr:col>21</xdr:col>
      <xdr:colOff>373380</xdr:colOff>
      <xdr:row>21</xdr:row>
      <xdr:rowOff>22860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CF55F64-31F9-6AB5-6F42-55F37E1F4D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0.90488</cdr:y>
    </cdr:from>
    <cdr:to>
      <cdr:x>1</cdr:x>
      <cdr:y>0.99116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33777"/>
          <a:ext cx="5695950" cy="3369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Asterisk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(*) denotes a forecast.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from USDA, National Agricultural Statistics Service, Quick Stats.</a:t>
          </a:r>
          <a:endParaRPr lang="en-US" sz="8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</xdr:colOff>
      <xdr:row>0</xdr:row>
      <xdr:rowOff>0</xdr:rowOff>
    </xdr:from>
    <xdr:to>
      <xdr:col>15</xdr:col>
      <xdr:colOff>480060</xdr:colOff>
      <xdr:row>22</xdr:row>
      <xdr:rowOff>9525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id="{A60311CC-5510-17A7-9A58-341FF0968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0.7905</cdr:y>
    </cdr:from>
    <cdr:to>
      <cdr:x>1</cdr:x>
      <cdr:y>0.99116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695577"/>
          <a:ext cx="4886325" cy="684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Q=Quarter. 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Asterisk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(*) denotes a forecast for Q4 using monthly lineups and historical shipment pace.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Soybean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hipments from major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exporters (i.e. Brazil, the United States, and Argentina) lagged to account for the time of delivery. 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Trade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Monitor LLC data.</a:t>
          </a:r>
          <a:endParaRPr lang="en-US" sz="8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146684</xdr:colOff>
      <xdr:row>0</xdr:row>
      <xdr:rowOff>0</xdr:rowOff>
    </xdr:from>
    <xdr:to>
      <xdr:col>16</xdr:col>
      <xdr:colOff>441960</xdr:colOff>
      <xdr:row>20</xdr:row>
      <xdr:rowOff>91440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11D8879E-D9F1-4ED1-BF3E-5A3DD639F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0.89979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4036695"/>
          <a:ext cx="5996940" cy="449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D4 is a code assigned for advanced biomass-based diesel under the Renewable Fuel Standard (RFS) program.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USDA, Economic Research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 using U.S. Environmental Protection Agency (EPA) data.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0.50149</cdr:y>
    </cdr:from>
    <cdr:to>
      <cdr:x>0.53746</cdr:x>
      <cdr:y>0.55671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F2FB7A6-883B-ACA9-81ED-99DAFD4AC8D3}"/>
            </a:ext>
          </a:extLst>
        </cdr:cNvPr>
        <cdr:cNvSpPr/>
      </cdr:nvSpPr>
      <cdr:spPr>
        <a:xfrm xmlns:a="http://schemas.openxmlformats.org/drawingml/2006/main">
          <a:off x="559348" y="2122768"/>
          <a:ext cx="2583902" cy="233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 b="1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RVO mandate</a:t>
          </a:r>
          <a:r>
            <a:rPr lang="en-US" sz="9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for 2023: 2.82 billion gallons</a:t>
          </a:r>
          <a:endParaRPr lang="en-US" sz="9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0.08936</cdr:x>
      <cdr:y>0.41189</cdr:y>
    </cdr:from>
    <cdr:to>
      <cdr:x>0.60163</cdr:x>
      <cdr:y>0.59631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BCD8EAE0-DD26-C333-7CBD-05F6C4977FB5}"/>
            </a:ext>
          </a:extLst>
        </cdr:cNvPr>
        <cdr:cNvSpPr/>
      </cdr:nvSpPr>
      <cdr:spPr>
        <a:xfrm xmlns:a="http://schemas.openxmlformats.org/drawingml/2006/main">
          <a:off x="625598" y="1531620"/>
          <a:ext cx="3586358" cy="685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RVO mandate</a:t>
          </a:r>
          <a:r>
            <a:rPr lang="en-US" sz="9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for 2024: 3.04 billion gallons</a:t>
          </a:r>
          <a:endParaRPr lang="en-US" sz="9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154304</xdr:colOff>
      <xdr:row>0</xdr:row>
      <xdr:rowOff>38100</xdr:rowOff>
    </xdr:from>
    <xdr:to>
      <xdr:col>17</xdr:col>
      <xdr:colOff>571500</xdr:colOff>
      <xdr:row>21</xdr:row>
      <xdr:rowOff>19050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0F09879-D635-4746-A49F-1754ADE22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0.82983</cdr:y>
    </cdr:from>
    <cdr:to>
      <cdr:x>1</cdr:x>
      <cdr:y>0.99222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07080"/>
          <a:ext cx="5558790" cy="64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Assumes an average D4 (advanced biomass-based diesel) renewable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identification number price each year,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a 1.7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energy equivalence factor for renewable diesel, average feedstock carbon intensity score in California across all locations, a 89.37 diesel carbon intensity score, and a 129.65 energy density of renewable diesel.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Fastmarkets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Oil Price Information Service data; and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California Air Resource Board data.</a:t>
          </a:r>
          <a:endParaRPr lang="en-US" sz="8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534668</xdr:colOff>
      <xdr:row>0</xdr:row>
      <xdr:rowOff>144780</xdr:rowOff>
    </xdr:from>
    <xdr:to>
      <xdr:col>19</xdr:col>
      <xdr:colOff>186690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0630FC-AE09-4BDF-A5E4-21D88C708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0.86052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85160"/>
          <a:ext cx="7197092" cy="516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CY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= Calendar year. HS = Harmonized System. CIF = Cost, insurance, and freight.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January through May average.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USDA, Agricultural Marketing Service; and USDA, Foreign Agricultural Service, Global Agricultural Trade System.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8254</xdr:colOff>
      <xdr:row>0</xdr:row>
      <xdr:rowOff>0</xdr:rowOff>
    </xdr:from>
    <xdr:to>
      <xdr:col>23</xdr:col>
      <xdr:colOff>409575</xdr:colOff>
      <xdr:row>16</xdr:row>
      <xdr:rowOff>8257</xdr:rowOff>
    </xdr:to>
    <xdr:graphicFrame macro="">
      <xdr:nvGraphicFramePr>
        <xdr:cNvPr id="17" name="Chart 3">
          <a:extLst>
            <a:ext uri="{FF2B5EF4-FFF2-40B4-BE49-F238E27FC236}">
              <a16:creationId xmlns:a16="http://schemas.microsoft.com/office/drawing/2014/main" id="{9CA391A5-D3E5-489D-B292-F26B90706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0.88467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29000"/>
          <a:ext cx="6511288" cy="447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Label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is percent share of feedstock use. EIA started reporting renewable diesel feedstock use in 2021, prior years are just biodiesel.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U.S.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Department of Energy, U.S. Energy Information Administration,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Monthly Energy Review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Feedstocks consumed for production of biofuels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January, 2024.</a:t>
          </a:r>
          <a:endParaRPr lang="en-US" sz="8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465138</xdr:colOff>
      <xdr:row>0</xdr:row>
      <xdr:rowOff>95568</xdr:rowOff>
    </xdr:from>
    <xdr:to>
      <xdr:col>19</xdr:col>
      <xdr:colOff>258760</xdr:colOff>
      <xdr:row>20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D03C5D-E1E5-410F-8FBF-43ABE25CF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0.83828</cdr:y>
    </cdr:from>
    <cdr:to>
      <cdr:x>1</cdr:x>
      <cdr:y>0.99222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25801"/>
          <a:ext cx="6485889" cy="5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The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U.S. Energy Information Administration started reporting feedstock usage in renewable diesel in 2021, prior years include only biodiesel.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U.S.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Department of Energy, U.S. Energy Information Administration,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Monthly Energy Review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Feedstocks consumed for production of biofuels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January 2024.</a:t>
          </a:r>
          <a:endParaRPr lang="en-US" sz="8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1055369</xdr:colOff>
      <xdr:row>0</xdr:row>
      <xdr:rowOff>0</xdr:rowOff>
    </xdr:from>
    <xdr:to>
      <xdr:col>16</xdr:col>
      <xdr:colOff>325755</xdr:colOff>
      <xdr:row>19</xdr:row>
      <xdr:rowOff>95250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6E5EE0ED-50E8-4D20-B2F2-BF368DC8E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0.84383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90875"/>
          <a:ext cx="6214111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Other fats=Poultry fats and lard.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Harmonized System (HS) codes are as follows: Tallow = 1502100040 and 1502100020; Greases = 1501200060 and 1501200040; Processed oils = 1518004000; Other fats = 1501100000 and 1501900000.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USDA, Foreign Agricultural Service, Global Agricultural Trade System data.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80009</xdr:colOff>
      <xdr:row>1</xdr:row>
      <xdr:rowOff>72390</xdr:rowOff>
    </xdr:from>
    <xdr:to>
      <xdr:col>23</xdr:col>
      <xdr:colOff>83820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13DF1E-F7B6-44C7-9E7A-6D760CE8C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0.87024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4088130"/>
          <a:ext cx="8538211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ROW=Rest of world. </a:t>
          </a:r>
        </a:p>
        <a:p xmlns:a="http://schemas.openxmlformats.org/drawingml/2006/main"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Harmonized System Code 1518004000 defined as: animal and vegetable fats and oils and their fractions, boiled, oxidized, dehydrated, sulfurized, etc. or otherwise chemically modified excluding harmonized system heading 1516</a:t>
          </a:r>
          <a:r>
            <a:rPr lang="en-US" sz="8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using USDA,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Global Agricultural Trade System data.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219073</xdr:colOff>
      <xdr:row>6</xdr:row>
      <xdr:rowOff>76199</xdr:rowOff>
    </xdr:from>
    <xdr:to>
      <xdr:col>7</xdr:col>
      <xdr:colOff>419100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10A449-1EA0-45D9-ABF3-C763968A8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0.80702</cdr:y>
    </cdr:from>
    <cdr:to>
      <cdr:x>1</cdr:x>
      <cdr:y>0.99222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190751"/>
          <a:ext cx="5191127" cy="50275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Tallow trade Harmonized System (HS) codes are 1502100040 and 1502100020. Processed oils are the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HS 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1518004000 code.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USDA, Foreign Agricultural Service, Global Agricultural Trade System data.</a:t>
          </a:r>
          <a:endParaRPr lang="en-US" sz="8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5546875" defaultRowHeight="13.8"/>
  <cols>
    <col min="1" max="1" width="166.88671875" style="12" customWidth="1"/>
    <col min="2" max="16384" width="9.5546875" style="1"/>
  </cols>
  <sheetData>
    <row r="1" spans="1:3">
      <c r="A1" s="7" t="s">
        <v>0</v>
      </c>
      <c r="B1" s="82"/>
      <c r="C1" s="82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82"/>
    </row>
    <row r="5" spans="1:3">
      <c r="A5" s="10" t="s">
        <v>3</v>
      </c>
      <c r="B5" s="4"/>
      <c r="C5" s="82"/>
    </row>
    <row r="6" spans="1:3">
      <c r="A6" s="10" t="s">
        <v>4</v>
      </c>
      <c r="B6" s="4"/>
      <c r="C6" s="82"/>
    </row>
    <row r="7" spans="1:3">
      <c r="A7" s="10" t="s">
        <v>5</v>
      </c>
      <c r="B7" s="4"/>
      <c r="C7" s="82"/>
    </row>
    <row r="8" spans="1:3">
      <c r="A8" s="10" t="s">
        <v>6</v>
      </c>
      <c r="B8" s="4"/>
      <c r="C8" s="82"/>
    </row>
    <row r="9" spans="1:3">
      <c r="A9" s="10" t="s">
        <v>7</v>
      </c>
      <c r="B9" s="4"/>
      <c r="C9" s="82"/>
    </row>
    <row r="10" spans="1:3">
      <c r="A10" s="10" t="s">
        <v>8</v>
      </c>
      <c r="B10" s="4"/>
      <c r="C10" s="82"/>
    </row>
    <row r="11" spans="1:3">
      <c r="A11" s="10" t="s">
        <v>9</v>
      </c>
      <c r="B11" s="4"/>
      <c r="C11" s="82"/>
    </row>
    <row r="12" spans="1:3">
      <c r="A12" s="10" t="s">
        <v>10</v>
      </c>
      <c r="B12" s="4"/>
      <c r="C12" s="82"/>
    </row>
    <row r="13" spans="1:3">
      <c r="A13" s="11" t="s">
        <v>11</v>
      </c>
      <c r="B13" s="4"/>
      <c r="C13" s="82"/>
    </row>
    <row r="14" spans="1:3" ht="13.2">
      <c r="A14" s="82"/>
      <c r="B14" s="82"/>
      <c r="C14" s="82"/>
    </row>
    <row r="15" spans="1:3">
      <c r="A15" s="7" t="s">
        <v>12</v>
      </c>
      <c r="B15" s="82"/>
      <c r="C15" s="82"/>
    </row>
    <row r="16" spans="1:3">
      <c r="A16" s="9">
        <v>45489</v>
      </c>
      <c r="B16" s="82"/>
      <c r="C16" s="82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7"/>
  <sheetViews>
    <sheetView showGridLines="0" zoomScale="70" zoomScaleNormal="70" workbookViewId="0"/>
  </sheetViews>
  <sheetFormatPr defaultColWidth="9.109375" defaultRowHeight="13.2"/>
  <cols>
    <col min="1" max="1" width="21.5546875" customWidth="1"/>
    <col min="2" max="2" width="14.109375" customWidth="1"/>
    <col min="3" max="3" width="9.5546875" customWidth="1"/>
    <col min="4" max="4" width="26.5546875" customWidth="1"/>
    <col min="5" max="5" width="9.5546875" customWidth="1"/>
    <col min="6" max="6" width="10.5546875" customWidth="1"/>
    <col min="7" max="7" width="19.88671875" customWidth="1"/>
    <col min="8" max="8" width="18.88671875" customWidth="1"/>
    <col min="9" max="9" width="1.5546875" customWidth="1"/>
    <col min="10" max="10" width="14.5546875" customWidth="1"/>
    <col min="11" max="12" width="10.5546875" customWidth="1"/>
    <col min="13" max="13" width="10.44140625" customWidth="1"/>
    <col min="14" max="14" width="9.5546875" customWidth="1"/>
    <col min="17" max="17" width="15.44140625" bestFit="1" customWidth="1"/>
    <col min="18" max="18" width="13.44140625" bestFit="1" customWidth="1"/>
    <col min="22" max="22" width="12.10937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13</v>
      </c>
      <c r="C2" s="117"/>
      <c r="D2" s="17" t="s">
        <v>14</v>
      </c>
      <c r="E2" s="18"/>
      <c r="F2" s="117" t="s">
        <v>15</v>
      </c>
      <c r="G2" s="117"/>
      <c r="H2" s="117"/>
      <c r="I2" s="15"/>
      <c r="J2" s="18"/>
      <c r="K2" s="117"/>
      <c r="L2" s="19" t="s">
        <v>16</v>
      </c>
      <c r="M2" s="117"/>
      <c r="N2" s="15"/>
    </row>
    <row r="3" spans="1:23" ht="13.8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8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">
      <c r="A5" s="15"/>
      <c r="B5" s="119" t="s">
        <v>31</v>
      </c>
      <c r="C5" s="118"/>
      <c r="D5" s="27" t="s">
        <v>32</v>
      </c>
      <c r="G5" s="119"/>
      <c r="I5" s="119"/>
      <c r="J5" s="119" t="s">
        <v>33</v>
      </c>
      <c r="K5" s="119"/>
      <c r="L5" s="119"/>
      <c r="M5" s="119"/>
      <c r="N5" s="119"/>
      <c r="W5" s="26"/>
    </row>
    <row r="6" spans="1:23" ht="16.5" customHeight="1">
      <c r="A6" s="15" t="s">
        <v>37</v>
      </c>
      <c r="B6" s="221">
        <v>87.45</v>
      </c>
      <c r="C6" s="221">
        <v>86.174000000000007</v>
      </c>
      <c r="D6" s="221">
        <f>F6/C6</f>
        <v>49.555329913895143</v>
      </c>
      <c r="E6" s="222">
        <v>274.39400000000001</v>
      </c>
      <c r="F6" s="223">
        <v>4270.3810000000003</v>
      </c>
      <c r="G6" s="224">
        <f>G27</f>
        <v>24.510413516181998</v>
      </c>
      <c r="H6" s="224">
        <f>SUM(E6:G6)</f>
        <v>4569.2854135161824</v>
      </c>
      <c r="I6" s="15"/>
      <c r="J6" s="223">
        <f>J27</f>
        <v>2211.9384453555185</v>
      </c>
      <c r="K6" s="223">
        <f>M6-L6-J6</f>
        <v>113.61885067909361</v>
      </c>
      <c r="L6" s="224">
        <f>L27</f>
        <v>1979.5441174815701</v>
      </c>
      <c r="M6" s="224">
        <f>H6-N6</f>
        <v>4305.1014135161822</v>
      </c>
      <c r="N6" s="224">
        <v>264.18400000000003</v>
      </c>
    </row>
    <row r="7" spans="1:23" ht="16.5" customHeight="1">
      <c r="A7" s="15" t="s">
        <v>155</v>
      </c>
      <c r="B7" s="221">
        <v>83.6</v>
      </c>
      <c r="C7" s="221">
        <v>82.355999999999995</v>
      </c>
      <c r="D7" s="221">
        <f>F7/C7</f>
        <v>50.569199572587301</v>
      </c>
      <c r="E7" s="222">
        <f>N6</f>
        <v>264.18400000000003</v>
      </c>
      <c r="F7" s="223">
        <v>4164.6769999999997</v>
      </c>
      <c r="G7" s="224">
        <v>20</v>
      </c>
      <c r="H7" s="224">
        <f>SUM(E7:G7)</f>
        <v>4448.8609999999999</v>
      </c>
      <c r="I7" s="15"/>
      <c r="J7" s="223">
        <v>2290</v>
      </c>
      <c r="K7" s="232">
        <v>113.4</v>
      </c>
      <c r="L7" s="224">
        <v>1700</v>
      </c>
      <c r="M7" s="224">
        <f>SUM(J7:L7)</f>
        <v>4103.3999999999996</v>
      </c>
      <c r="N7" s="224">
        <f>H7-M7</f>
        <v>345.46100000000024</v>
      </c>
      <c r="P7" s="148"/>
    </row>
    <row r="8" spans="1:23" ht="16.5" customHeight="1">
      <c r="A8" s="15" t="s">
        <v>156</v>
      </c>
      <c r="B8" s="221">
        <v>86.1</v>
      </c>
      <c r="C8" s="221">
        <v>85.260999999999996</v>
      </c>
      <c r="D8" s="221">
        <v>52</v>
      </c>
      <c r="E8" s="222">
        <f>N7</f>
        <v>345.46100000000024</v>
      </c>
      <c r="F8" s="223">
        <v>4435</v>
      </c>
      <c r="G8" s="224">
        <v>15</v>
      </c>
      <c r="H8" s="224">
        <f>SUM(E8:G8)</f>
        <v>4795.4610000000002</v>
      </c>
      <c r="I8" s="15"/>
      <c r="J8" s="223">
        <v>2425</v>
      </c>
      <c r="K8" s="232">
        <v>110</v>
      </c>
      <c r="L8" s="224">
        <v>1825</v>
      </c>
      <c r="M8" s="224">
        <f>SUM(J8:L8)</f>
        <v>4360</v>
      </c>
      <c r="N8" s="224">
        <f>H8-M8</f>
        <v>435.46100000000024</v>
      </c>
      <c r="P8" s="148"/>
      <c r="Q8" s="148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37</v>
      </c>
      <c r="B10" s="83"/>
      <c r="C10" s="83"/>
      <c r="D10" s="83"/>
      <c r="E10" s="32"/>
      <c r="F10" s="32"/>
      <c r="G10" s="6"/>
      <c r="H10" s="13"/>
      <c r="I10" s="83"/>
      <c r="J10" s="13"/>
      <c r="K10" s="31"/>
      <c r="L10" s="6"/>
      <c r="M10" s="6"/>
      <c r="N10" s="13"/>
      <c r="R10" s="130"/>
      <c r="S10" s="131"/>
    </row>
    <row r="11" spans="1:23" ht="16.5" customHeight="1">
      <c r="A11" s="15" t="s">
        <v>38</v>
      </c>
      <c r="B11" s="83"/>
      <c r="C11" s="83"/>
      <c r="D11" s="83"/>
      <c r="E11" s="32"/>
      <c r="F11" s="32"/>
      <c r="G11" s="6">
        <f>(31758.1*36.74371)/1000000</f>
        <v>1.166910416551</v>
      </c>
      <c r="H11" s="13"/>
      <c r="I11" s="83"/>
      <c r="J11" s="6">
        <f>((5028287*0.907185)*36.74371)/1000000</f>
        <v>167.60961304264146</v>
      </c>
      <c r="K11" s="31"/>
      <c r="L11" s="6">
        <f>(2077837.3*36.74371)/1000000</f>
        <v>76.347451178383011</v>
      </c>
      <c r="M11" s="6"/>
      <c r="N11" s="13"/>
      <c r="Q11" s="86"/>
      <c r="R11" s="130"/>
      <c r="S11" s="131"/>
    </row>
    <row r="12" spans="1:23" ht="16.5" customHeight="1">
      <c r="A12" s="15" t="s">
        <v>39</v>
      </c>
      <c r="B12" s="83"/>
      <c r="C12" s="83"/>
      <c r="D12" s="83"/>
      <c r="E12" s="32"/>
      <c r="F12" s="32"/>
      <c r="G12" s="6">
        <f>(33827.2*36.74371)/1000000</f>
        <v>1.2429368269119998</v>
      </c>
      <c r="H12" s="13"/>
      <c r="I12" s="83"/>
      <c r="J12" s="6">
        <f>((5899694*0.907185)*36.74371)/1000000</f>
        <v>196.65652107964277</v>
      </c>
      <c r="K12" s="31"/>
      <c r="L12" s="6">
        <f>(9946822.5*36.74371)/1000000</f>
        <v>365.48316136147497</v>
      </c>
      <c r="M12" s="6"/>
      <c r="N12" s="13"/>
      <c r="Q12" s="86"/>
      <c r="R12" s="130"/>
      <c r="S12" s="131"/>
    </row>
    <row r="13" spans="1:23" ht="16.5" customHeight="1">
      <c r="A13" s="15" t="s">
        <v>40</v>
      </c>
      <c r="B13" s="83"/>
      <c r="C13" s="83"/>
      <c r="D13" s="83"/>
      <c r="E13" s="32"/>
      <c r="F13" s="32"/>
      <c r="G13" s="6">
        <f>(35058.7*36.74371)/1000000</f>
        <v>1.288186705777</v>
      </c>
      <c r="H13" s="13"/>
      <c r="I13" s="83"/>
      <c r="J13" s="6">
        <f>((5687098*0.907185)*36.74371)/1000000</f>
        <v>189.56998578553299</v>
      </c>
      <c r="K13" s="31"/>
      <c r="L13" s="6">
        <f>(9755010.4*36.74371)/1000000</f>
        <v>358.43527318458405</v>
      </c>
      <c r="M13" s="6"/>
      <c r="N13" s="13"/>
      <c r="Q13" s="86"/>
      <c r="R13" s="130"/>
      <c r="S13" s="130"/>
    </row>
    <row r="14" spans="1:23" ht="16.5" customHeight="1">
      <c r="A14" s="15" t="s">
        <v>41</v>
      </c>
      <c r="B14" s="83"/>
      <c r="C14" s="83"/>
      <c r="D14" s="83"/>
      <c r="E14" s="32">
        <f>N6</f>
        <v>264.18400000000003</v>
      </c>
      <c r="F14" s="32">
        <v>4270.3810000000003</v>
      </c>
      <c r="G14" s="6">
        <f>SUM(G11:G13)</f>
        <v>3.6980339492400001</v>
      </c>
      <c r="H14" s="13">
        <f>SUM(E14:G14)</f>
        <v>4538.2630339492407</v>
      </c>
      <c r="I14" s="83"/>
      <c r="J14" s="6">
        <f>SUM(J11:J13)</f>
        <v>553.83611990781719</v>
      </c>
      <c r="K14" s="31">
        <f>M14-L14-J14</f>
        <v>163.00902831698147</v>
      </c>
      <c r="L14" s="6">
        <f>SUM(L11:L13)</f>
        <v>800.265885724442</v>
      </c>
      <c r="M14" s="6">
        <f>H14-N14</f>
        <v>1517.1110339492407</v>
      </c>
      <c r="N14" s="13">
        <f>3021.152</f>
        <v>3021.152</v>
      </c>
      <c r="R14" s="130"/>
      <c r="S14" s="130"/>
    </row>
    <row r="15" spans="1:23" ht="16.5" customHeight="1">
      <c r="A15" s="15" t="s">
        <v>42</v>
      </c>
      <c r="B15" s="83"/>
      <c r="C15" s="83"/>
      <c r="D15" s="83"/>
      <c r="E15" s="32"/>
      <c r="F15" s="88"/>
      <c r="G15" s="6">
        <f>(36010.8*36.74371)/1000000</f>
        <v>1.323170392068</v>
      </c>
      <c r="H15" s="13"/>
      <c r="I15" s="83"/>
      <c r="J15" s="6">
        <f>((5622561*0.907185)*36.74371)/1000000</f>
        <v>187.41875185697378</v>
      </c>
      <c r="K15" s="31"/>
      <c r="L15" s="6">
        <f>(7967680.1*36.74371)/1000000</f>
        <v>292.76212696717101</v>
      </c>
      <c r="M15" s="6"/>
      <c r="N15" s="13"/>
      <c r="R15" s="130"/>
      <c r="S15" s="130"/>
    </row>
    <row r="16" spans="1:23" ht="16.5" customHeight="1">
      <c r="A16" s="15" t="s">
        <v>43</v>
      </c>
      <c r="B16" s="83"/>
      <c r="C16" s="83"/>
      <c r="D16" s="83"/>
      <c r="E16" s="32"/>
      <c r="F16" s="88"/>
      <c r="G16" s="6">
        <f>(5893*36.74371)/1000000</f>
        <v>0.21653068303</v>
      </c>
      <c r="H16" s="13"/>
      <c r="I16" s="83"/>
      <c r="J16" s="6">
        <f>((5734398*0.907185)*36.74371)/1000000</f>
        <v>191.14665288844833</v>
      </c>
      <c r="K16" s="31"/>
      <c r="L16" s="6">
        <f>(8247678.8*36.74371)/1000000</f>
        <v>303.050318000348</v>
      </c>
      <c r="M16" s="6"/>
      <c r="N16" s="13"/>
      <c r="R16" s="130"/>
      <c r="S16" s="130"/>
    </row>
    <row r="17" spans="1:24" ht="16.5" customHeight="1">
      <c r="A17" s="15" t="s">
        <v>44</v>
      </c>
      <c r="B17" s="83"/>
      <c r="C17" s="83"/>
      <c r="D17" s="83"/>
      <c r="E17" s="32"/>
      <c r="F17" s="88"/>
      <c r="G17" s="6">
        <f>(27761.8*36.7371)/1000000</f>
        <v>1.0198880227799998</v>
      </c>
      <c r="H17" s="13"/>
      <c r="I17" s="83"/>
      <c r="J17" s="6">
        <f>((5306995*0.907185)*36.74371)/1000000</f>
        <v>176.89988227983665</v>
      </c>
      <c r="K17" s="31"/>
      <c r="L17" s="6">
        <f>(5470551.7*36.74371)/1000000</f>
        <v>201.00836520480701</v>
      </c>
      <c r="M17" s="6"/>
      <c r="N17" s="13"/>
      <c r="Q17" s="86"/>
      <c r="R17" s="130"/>
      <c r="S17" s="130"/>
    </row>
    <row r="18" spans="1:24" ht="16.5" customHeight="1">
      <c r="A18" s="15" t="s">
        <v>45</v>
      </c>
      <c r="B18" s="83"/>
      <c r="C18" s="83"/>
      <c r="D18" s="83"/>
      <c r="E18" s="32">
        <f>N14</f>
        <v>3021.152</v>
      </c>
      <c r="F18" s="88"/>
      <c r="G18" s="6">
        <f>SUM(G15:G17)</f>
        <v>2.5595890978779998</v>
      </c>
      <c r="H18" s="13">
        <f>SUM(E18:G18)</f>
        <v>3023.711589097878</v>
      </c>
      <c r="I18" s="83"/>
      <c r="J18" s="6">
        <f>SUM(J15:J17)</f>
        <v>555.46528702525882</v>
      </c>
      <c r="K18" s="31">
        <f>M18-L18-J18</f>
        <v>-15.206508099706866</v>
      </c>
      <c r="L18" s="6">
        <f>SUM(L15:L17)</f>
        <v>796.82081017232599</v>
      </c>
      <c r="M18" s="6">
        <f>H18-N18</f>
        <v>1337.0795890978779</v>
      </c>
      <c r="N18" s="13">
        <f>1686.632</f>
        <v>1686.6320000000001</v>
      </c>
      <c r="P18" s="34"/>
      <c r="R18" s="130"/>
      <c r="S18" s="130"/>
    </row>
    <row r="19" spans="1:24" ht="16.5" customHeight="1">
      <c r="A19" s="15" t="s">
        <v>46</v>
      </c>
      <c r="B19" s="83"/>
      <c r="C19" s="83"/>
      <c r="D19" s="83"/>
      <c r="E19" s="32"/>
      <c r="F19" s="88"/>
      <c r="G19" s="6">
        <f>(34750.8*36.74371)/1000000</f>
        <v>1.276873317468</v>
      </c>
      <c r="H19" s="13"/>
      <c r="I19" s="83"/>
      <c r="J19" s="6">
        <f>((5939012*0.907185)*36.74371)/1000000</f>
        <v>197.96712144227334</v>
      </c>
      <c r="K19" s="31"/>
      <c r="L19" s="6">
        <f>(3094585.1*36.74371)/1000000</f>
        <v>113.70653748472101</v>
      </c>
      <c r="M19" s="6"/>
      <c r="N19" s="13"/>
      <c r="Q19" s="86"/>
      <c r="R19" s="130"/>
      <c r="S19" s="130"/>
    </row>
    <row r="20" spans="1:24" ht="16.5" customHeight="1">
      <c r="A20" s="15" t="s">
        <v>47</v>
      </c>
      <c r="B20" s="83"/>
      <c r="C20" s="83"/>
      <c r="D20" s="83"/>
      <c r="E20" s="32"/>
      <c r="F20" s="88"/>
      <c r="G20" s="6">
        <f>(8469.7*36.74371)/1000000</f>
        <v>0.31120820058699999</v>
      </c>
      <c r="H20" s="13"/>
      <c r="I20" s="83"/>
      <c r="J20" s="6">
        <f>((5609607*0.907185)*36.74371)/1000000</f>
        <v>186.98695173749888</v>
      </c>
      <c r="K20" s="31"/>
      <c r="L20" s="6">
        <f>(2512608.1*36.74371)/1000000</f>
        <v>92.322543370050994</v>
      </c>
      <c r="M20" s="6"/>
      <c r="N20" s="13"/>
      <c r="R20" s="130"/>
      <c r="S20" s="130"/>
    </row>
    <row r="21" spans="1:24" ht="16.5" customHeight="1">
      <c r="A21" s="15" t="s">
        <v>48</v>
      </c>
      <c r="B21" s="83"/>
      <c r="C21" s="83"/>
      <c r="D21" s="83"/>
      <c r="E21" s="32"/>
      <c r="F21" s="88"/>
      <c r="G21" s="6">
        <f>(127008.2*36.74371)/1000000</f>
        <v>4.6667524684220005</v>
      </c>
      <c r="H21" s="13"/>
      <c r="I21" s="83"/>
      <c r="J21" s="6">
        <f>((5679096*0.907185)*36.74371)/1000000</f>
        <v>189.30325237839708</v>
      </c>
      <c r="K21" s="31"/>
      <c r="L21" s="6">
        <f>(996214.9*36.74371)/1000000</f>
        <v>36.604631383279006</v>
      </c>
      <c r="M21" s="6"/>
      <c r="N21" s="13"/>
      <c r="P21" s="83"/>
      <c r="Q21" s="86"/>
      <c r="R21" s="130"/>
      <c r="S21" s="130"/>
    </row>
    <row r="22" spans="1:24" ht="16.5" customHeight="1">
      <c r="A22" s="15" t="s">
        <v>49</v>
      </c>
      <c r="B22" s="83"/>
      <c r="C22" s="83"/>
      <c r="D22" s="83"/>
      <c r="E22" s="32">
        <f>N18</f>
        <v>1686.6320000000001</v>
      </c>
      <c r="F22" s="88"/>
      <c r="G22" s="6">
        <f>SUM(G19:G21)</f>
        <v>6.2548339864770011</v>
      </c>
      <c r="H22" s="13">
        <f>SUM(E22:G22)</f>
        <v>1692.8868339864771</v>
      </c>
      <c r="I22" s="83"/>
      <c r="J22" s="6">
        <f>SUM(J19:J21)</f>
        <v>574.25732555816921</v>
      </c>
      <c r="K22" s="31">
        <f>M22-L22-J22</f>
        <v>79.607796190256749</v>
      </c>
      <c r="L22" s="6">
        <f>SUM(L19:L21)</f>
        <v>242.63371223805103</v>
      </c>
      <c r="M22" s="6">
        <f>H22-N22</f>
        <v>896.49883398647705</v>
      </c>
      <c r="N22" s="13">
        <v>796.38800000000003</v>
      </c>
      <c r="P22" s="83"/>
    </row>
    <row r="23" spans="1:24" ht="16.5" customHeight="1">
      <c r="A23" s="15" t="s">
        <v>50</v>
      </c>
      <c r="B23" s="83"/>
      <c r="C23" s="83"/>
      <c r="D23" s="83"/>
      <c r="E23" s="32"/>
      <c r="F23" s="88"/>
      <c r="G23" s="6">
        <f>(166684.6*36.744)/1000000</f>
        <v>6.1246589424</v>
      </c>
      <c r="H23" s="13"/>
      <c r="I23" s="83"/>
      <c r="J23" s="6">
        <f>((5236516*0.907185)*36.74371)/1000000</f>
        <v>174.55058162980768</v>
      </c>
      <c r="K23" s="31"/>
      <c r="L23" s="6">
        <f>(823622.5*36.74371)/1000000</f>
        <v>30.262946289475</v>
      </c>
      <c r="M23" s="6"/>
      <c r="N23" s="13"/>
    </row>
    <row r="24" spans="1:24" ht="16.5" customHeight="1">
      <c r="A24" s="15" t="s">
        <v>51</v>
      </c>
      <c r="B24" s="83"/>
      <c r="C24" s="83"/>
      <c r="D24" s="83"/>
      <c r="E24" s="32"/>
      <c r="F24" s="88"/>
      <c r="G24" s="6">
        <f>(114331.7*36.74371)/1000000</f>
        <v>4.2009708286069998</v>
      </c>
      <c r="H24" s="13"/>
      <c r="I24" s="83"/>
      <c r="J24" s="6">
        <f>((5545001*0.907185)*36.74371)/1000000</f>
        <v>184.83341780830332</v>
      </c>
      <c r="K24" s="31"/>
      <c r="L24" s="6">
        <f>(1276967.3*36.74371)/1000000</f>
        <v>46.920516150683</v>
      </c>
      <c r="M24" s="6"/>
      <c r="N24" s="13"/>
      <c r="Q24" s="86"/>
    </row>
    <row r="25" spans="1:24" ht="16.5" customHeight="1">
      <c r="A25" s="15" t="s">
        <v>52</v>
      </c>
      <c r="B25" s="83"/>
      <c r="C25" s="83"/>
      <c r="D25" s="83"/>
      <c r="E25" s="32"/>
      <c r="F25" s="88"/>
      <c r="G25" s="6">
        <f>(45509.7*36.74371)/1000000</f>
        <v>1.672195218987</v>
      </c>
      <c r="H25" s="13"/>
      <c r="I25" s="83"/>
      <c r="J25" s="6">
        <f>((5069870*0.907185)*36.74371)/1000000</f>
        <v>168.99571342616218</v>
      </c>
      <c r="K25" s="31"/>
      <c r="L25" s="6">
        <f>(1704788.5*36.74371)/1000000</f>
        <v>62.640254255335002</v>
      </c>
      <c r="M25" s="6"/>
      <c r="N25" s="13"/>
    </row>
    <row r="26" spans="1:24" ht="16.5" customHeight="1">
      <c r="A26" s="15" t="s">
        <v>53</v>
      </c>
      <c r="B26" s="83"/>
      <c r="C26" s="83"/>
      <c r="D26" s="83"/>
      <c r="E26" s="32">
        <f>N22</f>
        <v>796.38800000000003</v>
      </c>
      <c r="F26" s="88"/>
      <c r="G26" s="6">
        <f>SUM(G23:G25)</f>
        <v>11.997824989993999</v>
      </c>
      <c r="H26" s="13">
        <f>SUM(E26:G26)</f>
        <v>808.38582498999403</v>
      </c>
      <c r="I26" s="83"/>
      <c r="J26" s="6">
        <f>SUM(J23:J25)</f>
        <v>528.37971286427319</v>
      </c>
      <c r="K26" s="31">
        <f>M26-J26-L26</f>
        <v>-124.00160456977213</v>
      </c>
      <c r="L26" s="6">
        <f>SUM(L23:L25)</f>
        <v>139.823716695493</v>
      </c>
      <c r="M26" s="6">
        <f>H26-N26</f>
        <v>544.20182498999407</v>
      </c>
      <c r="N26" s="101">
        <v>264.18400000000003</v>
      </c>
    </row>
    <row r="27" spans="1:24" ht="16.5" customHeight="1">
      <c r="A27" s="15" t="s">
        <v>28</v>
      </c>
      <c r="B27" s="83"/>
      <c r="C27" s="83"/>
      <c r="D27" s="83"/>
      <c r="E27" s="32"/>
      <c r="F27" s="88"/>
      <c r="G27" s="104">
        <f>(667064.2*36.74371)/1000000</f>
        <v>24.510413516181998</v>
      </c>
      <c r="H27" s="94"/>
      <c r="I27" s="95"/>
      <c r="J27" s="6">
        <f>SUM(J14,J18,J22,J26)</f>
        <v>2211.9384453555185</v>
      </c>
      <c r="K27" s="96"/>
      <c r="L27" s="6">
        <f>(53874367*36.74371)/1000000</f>
        <v>1979.5441174815701</v>
      </c>
      <c r="M27" s="6"/>
      <c r="N27" s="13"/>
      <c r="Q27" s="86"/>
    </row>
    <row r="28" spans="1:24" ht="16.5" customHeight="1">
      <c r="A28" s="15"/>
      <c r="B28" s="83"/>
      <c r="C28" s="83"/>
      <c r="D28" s="83"/>
      <c r="E28" s="32"/>
      <c r="F28" s="32"/>
      <c r="G28" s="6"/>
      <c r="H28" s="13"/>
      <c r="I28" s="83"/>
      <c r="J28" s="13"/>
      <c r="K28" s="31"/>
      <c r="L28" s="6"/>
      <c r="M28" s="6"/>
      <c r="N28" s="13"/>
      <c r="R28" s="83"/>
    </row>
    <row r="29" spans="1:24" ht="16.5" customHeight="1">
      <c r="A29" s="30" t="s">
        <v>54</v>
      </c>
      <c r="B29" s="83"/>
      <c r="C29" s="83"/>
      <c r="D29" s="83"/>
      <c r="E29" s="32"/>
      <c r="F29" s="32"/>
      <c r="G29" s="6"/>
      <c r="H29" s="13"/>
      <c r="I29" s="83"/>
      <c r="J29" s="13"/>
      <c r="K29" s="31"/>
      <c r="L29" s="6"/>
      <c r="M29" s="6"/>
      <c r="N29" s="13"/>
      <c r="Q29" s="83"/>
      <c r="V29" s="98"/>
      <c r="X29" s="99"/>
    </row>
    <row r="30" spans="1:24" ht="16.5" customHeight="1">
      <c r="A30" s="15" t="s">
        <v>38</v>
      </c>
      <c r="B30" s="83"/>
      <c r="C30" s="83"/>
      <c r="D30" s="83"/>
      <c r="E30" s="32"/>
      <c r="F30" s="32"/>
      <c r="G30" s="6">
        <f>(37479.5*36.74371)/1000000</f>
        <v>1.3771358789450001</v>
      </c>
      <c r="H30" s="13"/>
      <c r="I30" s="83"/>
      <c r="J30" s="6">
        <f>((5242931*0.907185)*36.74371)/1000000</f>
        <v>174.76441502230665</v>
      </c>
      <c r="K30" s="31"/>
      <c r="L30" s="6">
        <f>(2498517*36.74371)/1000000</f>
        <v>91.80478407807</v>
      </c>
      <c r="M30" s="6"/>
      <c r="N30" s="13"/>
      <c r="T30" s="97"/>
    </row>
    <row r="31" spans="1:24" ht="16.5" customHeight="1">
      <c r="A31" s="15" t="s">
        <v>39</v>
      </c>
      <c r="B31" s="83"/>
      <c r="C31" s="83"/>
      <c r="D31" s="83"/>
      <c r="E31" s="32"/>
      <c r="F31" s="32"/>
      <c r="G31" s="6">
        <f>(19292.3*36.74371)/1000000</f>
        <v>0.70887067643300006</v>
      </c>
      <c r="H31" s="13"/>
      <c r="I31" s="83"/>
      <c r="J31" s="6">
        <f>((6041685*0.907185)*36.74371)/1000000</f>
        <v>201.38955572256145</v>
      </c>
      <c r="K31" s="31"/>
      <c r="L31" s="6">
        <f>(9422340.2*36.74371)/1000000</f>
        <v>346.21173583014195</v>
      </c>
      <c r="M31" s="6"/>
      <c r="N31" s="13"/>
      <c r="T31" s="97"/>
    </row>
    <row r="32" spans="1:24" ht="16.5" customHeight="1">
      <c r="A32" s="15" t="s">
        <v>40</v>
      </c>
      <c r="B32" s="83"/>
      <c r="C32" s="83"/>
      <c r="D32" s="83"/>
      <c r="E32" s="32"/>
      <c r="F32" s="32"/>
      <c r="G32" s="6">
        <f>(46381*36.74371)/1000000</f>
        <v>1.70421001351</v>
      </c>
      <c r="H32" s="13"/>
      <c r="I32" s="83"/>
      <c r="J32" s="6">
        <f>((6002708*0.907185)*36.74371)/1000000</f>
        <v>200.09032202974259</v>
      </c>
      <c r="K32" s="31"/>
      <c r="L32" s="6">
        <f>(7462119.8*36.74371)/1000000</f>
        <v>274.18596591645803</v>
      </c>
      <c r="M32" s="6"/>
      <c r="N32" s="109"/>
      <c r="T32" s="97"/>
    </row>
    <row r="33" spans="1:20" ht="16.5" customHeight="1">
      <c r="A33" s="15" t="s">
        <v>41</v>
      </c>
      <c r="B33" s="83"/>
      <c r="C33" s="83"/>
      <c r="D33" s="83"/>
      <c r="E33" s="32">
        <f>N26</f>
        <v>264.18400000000003</v>
      </c>
      <c r="F33" s="32">
        <v>4164.6769999999997</v>
      </c>
      <c r="G33" s="6">
        <f>SUM(G30:G32)</f>
        <v>3.7902165688880003</v>
      </c>
      <c r="H33" s="13">
        <f>SUM(E33:G33)</f>
        <v>4432.6512165688882</v>
      </c>
      <c r="I33" s="83"/>
      <c r="J33" s="6">
        <f>SUM(J30:J32)</f>
        <v>576.2442927746107</v>
      </c>
      <c r="K33" s="31">
        <f>M33-L33-J33</f>
        <v>143.48543796960746</v>
      </c>
      <c r="L33" s="6">
        <f>SUM(L30:L32)</f>
        <v>712.20248582467002</v>
      </c>
      <c r="M33" s="6">
        <f>H33-N33</f>
        <v>1431.9322165688882</v>
      </c>
      <c r="N33" s="110">
        <v>3000.7190000000001</v>
      </c>
      <c r="T33" s="97"/>
    </row>
    <row r="34" spans="1:20" ht="16.5" customHeight="1">
      <c r="A34" s="15" t="s">
        <v>42</v>
      </c>
      <c r="B34" s="83"/>
      <c r="C34" s="83"/>
      <c r="D34" s="83"/>
      <c r="E34" s="32"/>
      <c r="F34" s="32"/>
      <c r="G34" s="6">
        <f>(18649.8*36.74371)/1000000</f>
        <v>0.68526284275799998</v>
      </c>
      <c r="H34" s="13"/>
      <c r="I34" s="83"/>
      <c r="J34" s="6">
        <f>((6128558*0.907185)*36.74371)/1000000</f>
        <v>204.28532319045925</v>
      </c>
      <c r="K34" s="31"/>
      <c r="L34" s="6">
        <f>(4738450.9*36.74371)/1000000</f>
        <v>174.10826571883902</v>
      </c>
      <c r="M34" s="6"/>
      <c r="N34" s="110"/>
      <c r="T34" s="97"/>
    </row>
    <row r="35" spans="1:20" ht="16.5" customHeight="1">
      <c r="A35" s="15" t="s">
        <v>43</v>
      </c>
      <c r="B35" s="83"/>
      <c r="C35" s="83"/>
      <c r="D35" s="83"/>
      <c r="E35" s="32"/>
      <c r="F35" s="32"/>
      <c r="G35" s="6">
        <f>(25838.2*36.74371)/1000000</f>
        <v>0.94939132772200008</v>
      </c>
      <c r="H35" s="13"/>
      <c r="I35" s="83"/>
      <c r="J35" s="6">
        <f>((5844947*0.907185)*36.74371)/1000000</f>
        <v>194.83162057471029</v>
      </c>
      <c r="K35" s="31"/>
      <c r="L35" s="6">
        <f>(5961252*36.74371)/1000000</f>
        <v>219.03851472491999</v>
      </c>
      <c r="M35" s="6"/>
      <c r="N35" s="110"/>
      <c r="T35" s="97"/>
    </row>
    <row r="36" spans="1:20" ht="16.5" customHeight="1">
      <c r="A36" s="15" t="s">
        <v>44</v>
      </c>
      <c r="B36" s="83"/>
      <c r="C36" s="83"/>
      <c r="D36" s="83"/>
      <c r="E36" s="32"/>
      <c r="F36" s="32"/>
      <c r="G36" s="6">
        <f>(24300.7*36.74371)/1000000</f>
        <v>0.89289787359700001</v>
      </c>
      <c r="H36" s="13"/>
      <c r="I36" s="83"/>
      <c r="J36" s="6">
        <f>((5817974*0.907185)*36.74371)/1000000</f>
        <v>193.93252032593784</v>
      </c>
      <c r="K36" s="31"/>
      <c r="L36" s="6">
        <f>(5263949.5*36.74371)/1000000</f>
        <v>193.417033882645</v>
      </c>
      <c r="M36" s="6"/>
      <c r="N36" s="110"/>
      <c r="T36" s="97"/>
    </row>
    <row r="37" spans="1:20" ht="16.5" customHeight="1">
      <c r="A37" s="15" t="s">
        <v>45</v>
      </c>
      <c r="B37" s="83"/>
      <c r="C37" s="83"/>
      <c r="D37" s="83"/>
      <c r="E37" s="32">
        <f>N33</f>
        <v>3000.7190000000001</v>
      </c>
      <c r="F37" s="32"/>
      <c r="G37" s="6">
        <f>SUM(G34:G36)</f>
        <v>2.5275520440770003</v>
      </c>
      <c r="H37" s="13">
        <f>SUM(E37:G37)</f>
        <v>3003.2465520440769</v>
      </c>
      <c r="I37" s="83"/>
      <c r="J37" s="6">
        <f>SUM(J34:J36)</f>
        <v>593.04946409110744</v>
      </c>
      <c r="K37" s="31">
        <f>M37-L37-J37</f>
        <v>-21.445726373434468</v>
      </c>
      <c r="L37" s="6">
        <f>SUM(L34:L36)</f>
        <v>586.56381432640399</v>
      </c>
      <c r="M37" s="6">
        <f>H37-N37</f>
        <v>1158.167552044077</v>
      </c>
      <c r="N37" s="110">
        <v>1845.079</v>
      </c>
      <c r="T37" s="97"/>
    </row>
    <row r="38" spans="1:20" ht="16.5" customHeight="1">
      <c r="A38" s="15" t="s">
        <v>46</v>
      </c>
      <c r="B38" s="83"/>
      <c r="C38" s="83"/>
      <c r="D38" s="83"/>
      <c r="E38" s="32"/>
      <c r="F38" s="32"/>
      <c r="G38" s="6">
        <f>(144280.7*36.74371)/1000000</f>
        <v>5.3014081993970006</v>
      </c>
      <c r="H38" s="13"/>
      <c r="I38" s="83"/>
      <c r="J38" s="6">
        <f>((6111759*0.907185)*36.74371)/1000000</f>
        <v>203.72535636885513</v>
      </c>
      <c r="K38" s="31"/>
      <c r="L38" s="6">
        <f>(3054246.9*36.74371)/1000000</f>
        <v>112.22436236199898</v>
      </c>
      <c r="M38" s="6"/>
      <c r="N38" s="110"/>
      <c r="T38" s="97"/>
    </row>
    <row r="39" spans="1:20" ht="16.5" customHeight="1">
      <c r="A39" s="15" t="s">
        <v>47</v>
      </c>
      <c r="B39" s="83"/>
      <c r="C39" s="83"/>
      <c r="D39" s="83"/>
      <c r="E39" s="32"/>
      <c r="F39" s="32"/>
      <c r="G39" s="6">
        <f>(57199.7*36.74371)/1000000</f>
        <v>2.101729188887</v>
      </c>
      <c r="H39" s="13"/>
      <c r="I39" s="83"/>
      <c r="J39" s="6">
        <f>((5332051*0.907185)*36.74371)/1000000</f>
        <v>177.73508251092858</v>
      </c>
      <c r="K39" s="31"/>
      <c r="L39" s="6">
        <f>(1769751.6*36.74371)/1000000</f>
        <v>65.027239562436009</v>
      </c>
      <c r="M39" s="6"/>
      <c r="N39" s="110"/>
      <c r="T39" s="97"/>
    </row>
    <row r="40" spans="1:20" ht="16.5" customHeight="1">
      <c r="A40" s="15" t="s">
        <v>48</v>
      </c>
      <c r="B40" s="83"/>
      <c r="C40" s="83"/>
      <c r="D40" s="83"/>
      <c r="E40" s="32"/>
      <c r="F40" s="32"/>
      <c r="G40" s="6">
        <f>(32603.2*36.74371)/1000000</f>
        <v>1.1979625258719999</v>
      </c>
      <c r="H40" s="13"/>
      <c r="I40" s="83"/>
      <c r="J40" s="6">
        <f>((5759617*0.907185)*36.74371)/1000000</f>
        <v>191.98728645437694</v>
      </c>
      <c r="K40" s="31"/>
      <c r="L40" s="6">
        <f>(1410073.2*36.74371)/1000000</f>
        <v>51.811320739571997</v>
      </c>
      <c r="M40" s="6"/>
      <c r="N40" s="110"/>
      <c r="T40" s="97"/>
    </row>
    <row r="41" spans="1:20" ht="16.5" customHeight="1">
      <c r="A41" s="15" t="s">
        <v>158</v>
      </c>
      <c r="B41" s="83"/>
      <c r="C41" s="83"/>
      <c r="D41" s="83"/>
      <c r="E41" s="32">
        <f>N37</f>
        <v>1845.079</v>
      </c>
      <c r="F41" s="32"/>
      <c r="G41" s="6">
        <f>SUM(G38:G40)</f>
        <v>8.6010999141560003</v>
      </c>
      <c r="H41" s="13">
        <f>SUM(E41:G41)</f>
        <v>1853.680099914156</v>
      </c>
      <c r="I41" s="83"/>
      <c r="J41" s="6">
        <f>SUM(J38:J40)</f>
        <v>573.44772533416062</v>
      </c>
      <c r="K41" s="13">
        <f>M41-L41-J41</f>
        <v>81.182451915988395</v>
      </c>
      <c r="L41" s="6">
        <f>SUM(L38:L40)</f>
        <v>229.06292266400698</v>
      </c>
      <c r="M41" s="6">
        <f>H41-N41</f>
        <v>883.69309991415605</v>
      </c>
      <c r="N41" s="13">
        <v>969.98699999999997</v>
      </c>
      <c r="T41" s="97"/>
    </row>
    <row r="42" spans="1:20" ht="16.5" customHeight="1">
      <c r="A42" s="79" t="s">
        <v>55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80"/>
      <c r="M42" s="69"/>
      <c r="N42" s="69"/>
      <c r="T42" s="97"/>
    </row>
    <row r="43" spans="1:20" ht="16.5" customHeight="1">
      <c r="A43" s="15" t="s">
        <v>56</v>
      </c>
      <c r="B43" s="15"/>
      <c r="C43" s="15"/>
      <c r="D43" s="15"/>
      <c r="E43" s="35"/>
      <c r="F43" s="35"/>
      <c r="G43" s="35"/>
      <c r="H43" s="35"/>
      <c r="I43" s="35"/>
      <c r="J43" s="35"/>
      <c r="K43" s="35"/>
      <c r="L43" s="35"/>
      <c r="M43" s="35"/>
      <c r="N43" s="35"/>
      <c r="T43" s="97"/>
    </row>
    <row r="44" spans="1:20" ht="16.5" customHeight="1">
      <c r="A44" s="20" t="s">
        <v>57</v>
      </c>
      <c r="B44" s="36">
        <f>Contents!A16</f>
        <v>45489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T44" s="97"/>
    </row>
    <row r="45" spans="1:20" ht="16.5" customHeight="1">
      <c r="T45" s="97"/>
    </row>
    <row r="46" spans="1:20" ht="16.5" customHeight="1">
      <c r="K46" s="34"/>
      <c r="T46" s="97"/>
    </row>
    <row r="47" spans="1:20" ht="16.5" customHeight="1">
      <c r="K47" s="93"/>
      <c r="P47" s="34"/>
      <c r="T47" s="97"/>
    </row>
    <row r="48" spans="1:20" ht="16.5" customHeight="1">
      <c r="T48" s="97"/>
    </row>
    <row r="49" spans="10:73" ht="16.5" customHeight="1">
      <c r="J49" s="34"/>
      <c r="L49" s="34"/>
      <c r="T49" s="97"/>
    </row>
    <row r="50" spans="10:73" ht="16.5" customHeight="1">
      <c r="J50" s="34"/>
      <c r="L50" s="34"/>
      <c r="T50" s="97"/>
    </row>
    <row r="51" spans="10:73" ht="16.5" customHeight="1">
      <c r="J51" s="34"/>
      <c r="L51" s="34"/>
      <c r="T51" s="97"/>
    </row>
    <row r="52" spans="10:73" ht="16.5" customHeight="1">
      <c r="T52" s="97"/>
    </row>
    <row r="53" spans="10:73" ht="16.5" customHeight="1">
      <c r="T53" s="97"/>
    </row>
    <row r="54" spans="10:73" ht="16.5" customHeight="1">
      <c r="T54" s="97"/>
    </row>
    <row r="55" spans="10:73" ht="16.5" customHeight="1">
      <c r="T55" s="97"/>
    </row>
    <row r="56" spans="10:73" ht="16.5" customHeight="1"/>
    <row r="57" spans="10:73" ht="16.5" customHeight="1"/>
    <row r="58" spans="10:73" ht="16.5" customHeight="1"/>
    <row r="59" spans="10:73" ht="16.5" customHeight="1"/>
    <row r="60" spans="10:73" ht="16.5" customHeight="1">
      <c r="O60" s="83"/>
      <c r="P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</row>
    <row r="61" spans="10:73">
      <c r="O61" s="83"/>
      <c r="P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</row>
    <row r="62" spans="10:73">
      <c r="O62" s="83"/>
      <c r="P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</row>
    <row r="63" spans="10:73">
      <c r="O63" s="83"/>
      <c r="P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</row>
    <row r="64" spans="10:73">
      <c r="O64" s="83"/>
      <c r="P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</row>
    <row r="65" spans="15:73">
      <c r="O65" s="83"/>
      <c r="P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</row>
    <row r="66" spans="15:73">
      <c r="O66" s="83"/>
      <c r="P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</row>
    <row r="67" spans="15:73">
      <c r="O67" s="83"/>
      <c r="P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5:73">
      <c r="O68" s="83"/>
      <c r="P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</row>
    <row r="69" spans="15:73">
      <c r="O69" s="83"/>
      <c r="P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</row>
    <row r="70" spans="15:73">
      <c r="O70" s="83"/>
      <c r="P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</row>
    <row r="71" spans="15:73">
      <c r="O71" s="83"/>
      <c r="P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</row>
    <row r="72" spans="15:73">
      <c r="O72" s="83"/>
      <c r="P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</row>
    <row r="73" spans="15:73">
      <c r="O73" s="83"/>
      <c r="P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</row>
    <row r="74" spans="15:73">
      <c r="O74" s="83"/>
      <c r="P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5:73">
      <c r="O75" s="83"/>
      <c r="P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</row>
    <row r="76" spans="15:73">
      <c r="O76" s="83"/>
      <c r="P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</row>
    <row r="77" spans="15:73">
      <c r="O77" s="83"/>
      <c r="P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</row>
    <row r="78" spans="15:73">
      <c r="O78" s="83"/>
      <c r="P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</row>
    <row r="79" spans="15:73">
      <c r="O79" s="83"/>
      <c r="P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</row>
    <row r="80" spans="15:73">
      <c r="O80" s="83"/>
      <c r="P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</row>
    <row r="81" spans="15:73">
      <c r="O81" s="83"/>
      <c r="P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</row>
    <row r="82" spans="15:73">
      <c r="O82" s="83"/>
      <c r="P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</row>
    <row r="83" spans="15:73">
      <c r="O83" s="83"/>
      <c r="P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</row>
    <row r="84" spans="15:73">
      <c r="O84" s="83"/>
      <c r="P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</row>
    <row r="85" spans="15:73">
      <c r="O85" s="83"/>
      <c r="P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</row>
    <row r="86" spans="15:73">
      <c r="O86" s="83"/>
      <c r="P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</row>
    <row r="87" spans="15:73">
      <c r="O87" s="83"/>
      <c r="P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</row>
    <row r="88" spans="15:73"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</row>
    <row r="89" spans="15:73"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</row>
    <row r="90" spans="15:73"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</row>
    <row r="91" spans="15:73"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</row>
    <row r="92" spans="15:73"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</row>
    <row r="93" spans="15:73"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</row>
    <row r="94" spans="15:73"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</row>
    <row r="95" spans="15:73"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</row>
    <row r="96" spans="15:73"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</row>
    <row r="97" spans="15:73"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</row>
    <row r="98" spans="15:73"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</row>
    <row r="99" spans="15:73"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</row>
    <row r="100" spans="15:73"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</row>
    <row r="101" spans="15:73"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</row>
    <row r="102" spans="15:73"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</row>
    <row r="103" spans="15:73"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</row>
    <row r="104" spans="15:73"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</row>
    <row r="105" spans="15:73"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</row>
    <row r="106" spans="15:73"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</row>
    <row r="107" spans="15:73"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</row>
    <row r="108" spans="15:73"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</row>
    <row r="109" spans="15:73"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</row>
    <row r="110" spans="15:73"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</row>
    <row r="111" spans="15:73"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</row>
    <row r="112" spans="15:73"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</row>
    <row r="113" spans="15:73"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</row>
    <row r="114" spans="15:73"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</row>
    <row r="115" spans="15:73"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</row>
    <row r="116" spans="15:73"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</row>
    <row r="117" spans="15:73"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</row>
    <row r="118" spans="15:73"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</row>
    <row r="119" spans="15:73"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5:73"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1" spans="15:73"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</row>
    <row r="122" spans="15:73"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</row>
    <row r="123" spans="15:73"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</row>
    <row r="124" spans="15:73"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</row>
    <row r="125" spans="15:73"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</row>
    <row r="126" spans="15:73"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5:73"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</row>
    <row r="128" spans="15:73"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</row>
    <row r="129" spans="15:73"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</row>
    <row r="130" spans="15:73"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</row>
    <row r="131" spans="15:73"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</row>
    <row r="132" spans="15:73"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</row>
    <row r="133" spans="15:73"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</row>
    <row r="134" spans="15:73"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</row>
    <row r="135" spans="15:73"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</row>
    <row r="136" spans="15:73"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</row>
    <row r="137" spans="15:73"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</row>
    <row r="138" spans="15:73"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</row>
    <row r="139" spans="15:73"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</row>
    <row r="140" spans="15:73"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</row>
    <row r="141" spans="15:73"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</row>
    <row r="142" spans="15:73"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</row>
    <row r="143" spans="15:73"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</row>
    <row r="144" spans="15:73"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</row>
    <row r="145" spans="15:73"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</row>
    <row r="146" spans="15:73"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</row>
    <row r="147" spans="15:73"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</row>
    <row r="148" spans="15:73"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</row>
    <row r="149" spans="15:73"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</row>
    <row r="150" spans="15:73"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</row>
    <row r="151" spans="15:73"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</row>
    <row r="152" spans="15:73"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</row>
    <row r="153" spans="15:73"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</row>
    <row r="154" spans="15:73"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</row>
    <row r="155" spans="15:73"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</row>
    <row r="156" spans="15:73"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</row>
    <row r="157" spans="15:73"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</row>
    <row r="158" spans="15:73"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</row>
    <row r="159" spans="15:73"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</row>
    <row r="160" spans="15:73"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</row>
    <row r="161" spans="15:73"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</row>
    <row r="162" spans="15:73"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</row>
    <row r="163" spans="15:73"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</row>
    <row r="164" spans="15:73"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</row>
    <row r="165" spans="15:73"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</row>
    <row r="166" spans="15:73"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</row>
    <row r="167" spans="15:73"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</row>
    <row r="168" spans="15:73"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</row>
    <row r="169" spans="15:73"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</row>
    <row r="170" spans="15:73"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</row>
    <row r="171" spans="15:73"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</row>
    <row r="172" spans="15:73"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</row>
    <row r="173" spans="15:73"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</row>
    <row r="174" spans="15:73"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</row>
    <row r="175" spans="15:73"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</row>
    <row r="176" spans="15:73"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</row>
    <row r="177" spans="15:73"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</row>
    <row r="178" spans="15:73"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</row>
    <row r="179" spans="15:73"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</row>
    <row r="180" spans="15:73"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</row>
    <row r="181" spans="15:73"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</row>
    <row r="182" spans="15:73"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</row>
    <row r="183" spans="15:73"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</row>
    <row r="184" spans="15:73"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</row>
    <row r="185" spans="15:73"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</row>
    <row r="186" spans="15:73"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</row>
    <row r="187" spans="15:73"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</row>
    <row r="188" spans="15:73"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</row>
    <row r="189" spans="15:73"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</row>
    <row r="190" spans="15:73"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</row>
    <row r="191" spans="15:73"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</row>
    <row r="192" spans="15:73"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</row>
    <row r="193" spans="15:73"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</row>
    <row r="194" spans="15:73"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</row>
    <row r="195" spans="15:73"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</row>
    <row r="196" spans="15:73"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</row>
    <row r="197" spans="15:73"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</row>
    <row r="198" spans="15:73"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</row>
    <row r="199" spans="15:73"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</row>
    <row r="200" spans="15:73"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</row>
    <row r="201" spans="15:73"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</row>
    <row r="202" spans="15:73"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</row>
    <row r="203" spans="15:73"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</row>
    <row r="204" spans="15:73"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</row>
    <row r="205" spans="15:73"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</row>
    <row r="206" spans="15:73"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</row>
    <row r="207" spans="15:73"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</row>
    <row r="208" spans="15:73"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</row>
    <row r="209" spans="15:73"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</row>
    <row r="210" spans="15:73"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</row>
    <row r="211" spans="15:73"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</row>
    <row r="212" spans="15:73"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</row>
    <row r="213" spans="15:73"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</row>
    <row r="214" spans="15:73"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</row>
    <row r="215" spans="15:73"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</row>
    <row r="216" spans="15:73"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</row>
    <row r="217" spans="15:73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</row>
    <row r="218" spans="15:73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</row>
    <row r="219" spans="15:73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</row>
    <row r="220" spans="15:73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</row>
    <row r="221" spans="15:73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</row>
    <row r="222" spans="15:73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</row>
    <row r="223" spans="15:73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</row>
    <row r="224" spans="15:73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</row>
    <row r="225" spans="15:73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</row>
    <row r="226" spans="15:73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</row>
    <row r="227" spans="15:73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</row>
    <row r="228" spans="15:73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</row>
    <row r="229" spans="15:73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</row>
    <row r="230" spans="15:73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</row>
    <row r="231" spans="15:73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</row>
    <row r="232" spans="15:73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</row>
    <row r="233" spans="15:73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</row>
    <row r="234" spans="15:73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</row>
    <row r="235" spans="15:73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</row>
    <row r="236" spans="15:73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</row>
    <row r="237" spans="15:73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</row>
    <row r="238" spans="15:73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</row>
    <row r="239" spans="15:73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</row>
    <row r="240" spans="15:73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</row>
    <row r="241" spans="15:73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</row>
    <row r="242" spans="15:73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</row>
    <row r="243" spans="15:73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</row>
    <row r="244" spans="15:73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</row>
    <row r="245" spans="15:73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</row>
    <row r="246" spans="15:73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</row>
    <row r="247" spans="15:73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</row>
    <row r="248" spans="15:73"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</row>
    <row r="249" spans="15:73"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</row>
    <row r="250" spans="15:73"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</row>
    <row r="251" spans="15:73"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</row>
    <row r="252" spans="15:73"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</row>
    <row r="253" spans="15:73"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</row>
    <row r="254" spans="15:73"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</row>
    <row r="255" spans="15:73"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</row>
    <row r="256" spans="15:73"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</row>
    <row r="257" spans="15:73"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</row>
    <row r="258" spans="15:73"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</row>
    <row r="259" spans="15:73"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</row>
    <row r="260" spans="15:73"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</row>
    <row r="261" spans="15:73"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</row>
    <row r="262" spans="15:73"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</row>
    <row r="263" spans="15:73"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</row>
    <row r="264" spans="15:73"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</row>
    <row r="265" spans="15:73"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</row>
    <row r="266" spans="15:73"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</row>
    <row r="267" spans="15:73"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</row>
    <row r="268" spans="15:73"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</row>
    <row r="269" spans="15:73"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</row>
    <row r="270" spans="15:73"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</row>
    <row r="271" spans="15:73"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</row>
    <row r="272" spans="15:73"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</row>
    <row r="273" spans="15:73"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</row>
    <row r="274" spans="15:73"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</row>
    <row r="275" spans="15:73"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</row>
    <row r="276" spans="15:73"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</row>
    <row r="277" spans="15:73"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</row>
    <row r="278" spans="15:73"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</row>
    <row r="279" spans="15:73"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</row>
    <row r="280" spans="15:73"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</row>
    <row r="281" spans="15:73"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</row>
    <row r="282" spans="15:73"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</row>
    <row r="283" spans="15:73"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</row>
    <row r="284" spans="15:73"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</row>
    <row r="285" spans="15:73"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</row>
    <row r="286" spans="15:73"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</row>
    <row r="287" spans="15:73"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</row>
    <row r="288" spans="15:73"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</row>
    <row r="289" spans="15:73"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</row>
    <row r="290" spans="15:73"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</row>
    <row r="291" spans="15:73"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</row>
    <row r="292" spans="15:73"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</row>
    <row r="293" spans="15:73"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</row>
    <row r="294" spans="15:73"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</row>
    <row r="295" spans="15:73"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</row>
    <row r="296" spans="15:73"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</row>
    <row r="297" spans="15:73"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</row>
    <row r="298" spans="15:73"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</row>
    <row r="299" spans="15:73"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</row>
    <row r="300" spans="15:73"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</row>
    <row r="301" spans="15:73"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</row>
    <row r="302" spans="15:73"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</row>
    <row r="303" spans="15:73"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</row>
    <row r="304" spans="15:73"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</row>
    <row r="305" spans="15:73"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</row>
    <row r="306" spans="15:73"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</row>
    <row r="307" spans="15:73"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</row>
    <row r="308" spans="15:73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</row>
    <row r="309" spans="15:73"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</row>
    <row r="310" spans="15:73"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</row>
    <row r="311" spans="15:73"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</row>
    <row r="312" spans="15:73"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</row>
    <row r="313" spans="15:73"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</row>
    <row r="314" spans="15:73"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</row>
    <row r="315" spans="15:73"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</row>
    <row r="316" spans="15:73"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</row>
    <row r="317" spans="15:73"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</row>
    <row r="318" spans="15:73"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</row>
    <row r="319" spans="15:73"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</row>
    <row r="320" spans="15:73"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</row>
    <row r="321" spans="15:73"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</row>
    <row r="322" spans="15:73"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</row>
    <row r="323" spans="15:73"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</row>
    <row r="324" spans="15:73"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</row>
    <row r="325" spans="15:73"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</row>
    <row r="326" spans="15:73"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</row>
    <row r="327" spans="15:73"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</row>
    <row r="328" spans="15:73"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</row>
    <row r="329" spans="15:73"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</row>
    <row r="330" spans="15:73"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</row>
    <row r="331" spans="15:73"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</row>
    <row r="332" spans="15:73"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</row>
    <row r="333" spans="15:73"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</row>
    <row r="334" spans="15:73"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</row>
    <row r="335" spans="15:73"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</row>
    <row r="336" spans="15:73"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</row>
    <row r="337" spans="15:73"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</row>
    <row r="338" spans="15:73"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</row>
    <row r="339" spans="15:73"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</row>
    <row r="340" spans="15:73"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</row>
    <row r="341" spans="15:73"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</row>
    <row r="342" spans="15:73"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</row>
    <row r="343" spans="15:73"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</row>
    <row r="344" spans="15:73"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</row>
    <row r="345" spans="15:73"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</row>
    <row r="346" spans="15:73"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</row>
    <row r="347" spans="15:73"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</row>
    <row r="348" spans="15:73"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</row>
    <row r="349" spans="15:73"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</row>
    <row r="350" spans="15:73"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</row>
    <row r="351" spans="15:73"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</row>
    <row r="352" spans="15:73"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</row>
    <row r="353" spans="15:73"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</row>
    <row r="354" spans="15:73"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</row>
    <row r="355" spans="15:73"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</row>
    <row r="356" spans="15:73"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</row>
    <row r="357" spans="15:73"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</row>
    <row r="358" spans="15:73"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</row>
    <row r="359" spans="15:73"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</row>
    <row r="360" spans="15:73"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</row>
    <row r="361" spans="15:73"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</row>
    <row r="362" spans="15:73"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</row>
    <row r="363" spans="15:73"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</row>
    <row r="364" spans="15:73"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</row>
    <row r="365" spans="15:73"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</row>
    <row r="366" spans="15:73"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</row>
    <row r="367" spans="15:73"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</row>
    <row r="368" spans="15:73"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</row>
    <row r="369" spans="15:73"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</row>
    <row r="370" spans="15:73"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</row>
    <row r="371" spans="15:73"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</row>
    <row r="372" spans="15:73"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</row>
    <row r="373" spans="15:73"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</row>
    <row r="374" spans="15:73"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</row>
    <row r="375" spans="15:73"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</row>
    <row r="376" spans="15:73"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</row>
    <row r="377" spans="15:73"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</row>
    <row r="378" spans="15:73"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</row>
    <row r="379" spans="15:73"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</row>
    <row r="380" spans="15:73"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</row>
    <row r="381" spans="15:73"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</row>
    <row r="382" spans="15:73"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</row>
    <row r="383" spans="15:73"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</row>
    <row r="384" spans="15:73"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</row>
    <row r="385" spans="15:73"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</row>
    <row r="386" spans="15:73"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</row>
    <row r="387" spans="15:73"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</row>
    <row r="388" spans="15:73"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</row>
    <row r="389" spans="15:73"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</row>
    <row r="390" spans="15:73"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</row>
    <row r="391" spans="15:73"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</row>
    <row r="392" spans="15:73"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</row>
    <row r="393" spans="15:73"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</row>
    <row r="394" spans="15:73"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</row>
    <row r="395" spans="15:73"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</row>
    <row r="396" spans="15:73"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</row>
    <row r="397" spans="15:73"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</row>
    <row r="398" spans="15:73"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</row>
    <row r="399" spans="15:73"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</row>
    <row r="400" spans="15:73"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</row>
    <row r="401" spans="15:73"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</row>
    <row r="402" spans="15:73"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</row>
    <row r="403" spans="15:73"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</row>
    <row r="404" spans="15:73"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</row>
    <row r="405" spans="15:73"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</row>
    <row r="406" spans="15:73"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</row>
    <row r="407" spans="15:73"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</row>
    <row r="408" spans="15:73"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</row>
    <row r="409" spans="15:73"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</row>
    <row r="410" spans="15:73"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</row>
    <row r="411" spans="15:73"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</row>
    <row r="412" spans="15:73"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</row>
    <row r="413" spans="15:73"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</row>
    <row r="414" spans="15:73"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</row>
    <row r="415" spans="15:73"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</row>
    <row r="416" spans="15:73"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</row>
    <row r="417" spans="15:73"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</row>
    <row r="418" spans="15:73"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</row>
    <row r="419" spans="15:73"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</row>
    <row r="420" spans="15:73"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</row>
    <row r="421" spans="15:73"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</row>
    <row r="422" spans="15:73"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</row>
    <row r="423" spans="15:73"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</row>
    <row r="424" spans="15:73"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</row>
    <row r="425" spans="15:73"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</row>
    <row r="426" spans="15:73"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</row>
    <row r="427" spans="15:73"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</row>
    <row r="428" spans="15:73"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</row>
    <row r="429" spans="15:73"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</row>
    <row r="430" spans="15:73"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</row>
    <row r="431" spans="15:73"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</row>
    <row r="432" spans="15:73"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</row>
    <row r="433" spans="15:73"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</row>
    <row r="434" spans="15:73"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</row>
    <row r="435" spans="15:73"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</row>
    <row r="436" spans="15:73"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</row>
    <row r="437" spans="15:73"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</row>
    <row r="438" spans="15:73"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</row>
    <row r="439" spans="15:73"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</row>
    <row r="440" spans="15:73"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</row>
    <row r="441" spans="15:73"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</row>
    <row r="442" spans="15:73"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</row>
    <row r="443" spans="15:73"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</row>
    <row r="444" spans="15:73"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</row>
    <row r="445" spans="15:73"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</row>
    <row r="446" spans="15:73"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</row>
    <row r="447" spans="15:73"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</row>
    <row r="448" spans="15:73"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</row>
    <row r="449" spans="15:73"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</row>
    <row r="450" spans="15:73"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</row>
    <row r="451" spans="15:73"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</row>
    <row r="452" spans="15:73"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</row>
    <row r="453" spans="15:73"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</row>
    <row r="454" spans="15:73"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</row>
    <row r="455" spans="15:73"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</row>
    <row r="456" spans="15:73"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</row>
    <row r="457" spans="15:73"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</row>
    <row r="458" spans="15:73"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</row>
    <row r="459" spans="15:73"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</row>
    <row r="460" spans="15:73"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</row>
    <row r="461" spans="15:73"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</row>
    <row r="462" spans="15:73"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</row>
    <row r="463" spans="15:73"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</row>
    <row r="464" spans="15:73"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</row>
    <row r="465" spans="15:73"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</row>
    <row r="466" spans="15:73"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</row>
    <row r="467" spans="15:73"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</row>
    <row r="468" spans="15:73"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</row>
    <row r="469" spans="15:73"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</row>
    <row r="470" spans="15:73"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</row>
    <row r="471" spans="15:73"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</row>
    <row r="472" spans="15:73"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</row>
    <row r="473" spans="15:73"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</row>
    <row r="474" spans="15:73"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</row>
    <row r="475" spans="15:73"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</row>
    <row r="476" spans="15:73"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</row>
    <row r="477" spans="15:73"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</row>
    <row r="478" spans="15:73"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</row>
    <row r="479" spans="15:73"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</row>
    <row r="480" spans="15:73"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</row>
    <row r="481" spans="15:73"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</row>
    <row r="482" spans="15:73"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</row>
    <row r="483" spans="15:73"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</row>
    <row r="484" spans="15:73"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</row>
    <row r="485" spans="15:73"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</row>
    <row r="486" spans="15:73"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</row>
    <row r="487" spans="15:73"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</row>
    <row r="488" spans="15:73"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</row>
    <row r="489" spans="15:73"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</row>
    <row r="490" spans="15:73"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</row>
    <row r="491" spans="15:73"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</row>
    <row r="492" spans="15:73"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</row>
    <row r="493" spans="15:73"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</row>
    <row r="494" spans="15:73"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</row>
    <row r="495" spans="15:73"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</row>
    <row r="496" spans="15:73"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</row>
    <row r="497" spans="15:73"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</row>
    <row r="498" spans="15:73"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</row>
    <row r="499" spans="15:73"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</row>
    <row r="500" spans="15:73"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</row>
    <row r="501" spans="15:73"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</row>
    <row r="502" spans="15:73"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</row>
    <row r="503" spans="15:73"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</row>
    <row r="504" spans="15:73"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</row>
    <row r="505" spans="15:73"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</row>
    <row r="506" spans="15:73"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</row>
    <row r="507" spans="15:73"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</row>
    <row r="508" spans="15:73"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</row>
    <row r="509" spans="15:73"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</row>
    <row r="510" spans="15:73"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</row>
    <row r="511" spans="15:73"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</row>
    <row r="512" spans="15:73"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</row>
    <row r="513" spans="15:73"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</row>
    <row r="514" spans="15:73"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</row>
    <row r="515" spans="15:73"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</row>
    <row r="516" spans="15:73"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</row>
    <row r="517" spans="15:73"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</row>
    <row r="518" spans="15:73"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</row>
    <row r="519" spans="15:73"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</row>
    <row r="520" spans="15:73"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</row>
    <row r="521" spans="15:73"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</row>
    <row r="522" spans="15:73"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</row>
    <row r="523" spans="15:73"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</row>
    <row r="524" spans="15:73"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</row>
    <row r="525" spans="15:73"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</row>
    <row r="526" spans="15:73"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</row>
    <row r="527" spans="15:73"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</row>
    <row r="528" spans="15:73"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</row>
    <row r="529" spans="15:73"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</row>
    <row r="530" spans="15:73"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</row>
    <row r="531" spans="15:73"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</row>
    <row r="532" spans="15:73"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</row>
    <row r="533" spans="15:73"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</row>
    <row r="534" spans="15:73"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</row>
    <row r="535" spans="15:73"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</row>
    <row r="536" spans="15:73"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</row>
    <row r="537" spans="15:73"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</row>
    <row r="538" spans="15:73"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</row>
    <row r="539" spans="15:73"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</row>
    <row r="540" spans="15:73"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</row>
    <row r="541" spans="15:73"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</row>
    <row r="542" spans="15:73"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</row>
    <row r="543" spans="15:73"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</row>
    <row r="544" spans="15:73"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</row>
    <row r="545" spans="15:73"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</row>
    <row r="546" spans="15:73"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</row>
    <row r="547" spans="15:73"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</row>
    <row r="548" spans="15:73"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</row>
    <row r="549" spans="15:73"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</row>
    <row r="550" spans="15:73"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</row>
    <row r="551" spans="15:73"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</row>
    <row r="552" spans="15:73"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</row>
    <row r="553" spans="15:73"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</row>
    <row r="554" spans="15:73"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</row>
    <row r="555" spans="15:73"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</row>
    <row r="556" spans="15:73"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</row>
    <row r="557" spans="15:73"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</row>
  </sheetData>
  <dataConsolidate link="1"/>
  <phoneticPr fontId="49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40"/>
  <sheetViews>
    <sheetView showGridLines="0" zoomScale="70" zoomScaleNormal="70" workbookViewId="0"/>
  </sheetViews>
  <sheetFormatPr defaultColWidth="9.109375" defaultRowHeight="13.2"/>
  <cols>
    <col min="1" max="1" width="16" customWidth="1"/>
    <col min="2" max="2" width="12.44140625" bestFit="1" customWidth="1"/>
    <col min="3" max="3" width="13.44140625" bestFit="1" customWidth="1"/>
    <col min="4" max="4" width="12" bestFit="1" customWidth="1"/>
    <col min="5" max="5" width="13.44140625" bestFit="1" customWidth="1"/>
    <col min="6" max="6" width="1.5546875" customWidth="1"/>
    <col min="7" max="7" width="14.44140625" bestFit="1" customWidth="1"/>
    <col min="8" max="8" width="15.44140625" bestFit="1" customWidth="1"/>
    <col min="9" max="9" width="13.44140625" bestFit="1" customWidth="1"/>
    <col min="10" max="10" width="10.5546875" customWidth="1"/>
    <col min="11" max="11" width="13.5546875" customWidth="1"/>
    <col min="12" max="12" width="11.5546875" bestFit="1" customWidth="1"/>
    <col min="13" max="13" width="14.6640625" customWidth="1"/>
    <col min="14" max="14" width="10.6640625" customWidth="1"/>
  </cols>
  <sheetData>
    <row r="1" spans="1:14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4" ht="13.8">
      <c r="A2" s="15"/>
      <c r="B2" s="269" t="s">
        <v>58</v>
      </c>
      <c r="C2" s="269"/>
      <c r="D2" s="269"/>
      <c r="E2" s="269"/>
      <c r="F2" s="15"/>
      <c r="G2" s="269" t="s">
        <v>59</v>
      </c>
      <c r="H2" s="269"/>
      <c r="I2" s="269"/>
      <c r="J2" s="15"/>
    </row>
    <row r="3" spans="1:14" ht="13.8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4" ht="13.8">
      <c r="A4" s="21" t="s">
        <v>61</v>
      </c>
      <c r="B4" s="23" t="s">
        <v>62</v>
      </c>
      <c r="C4" s="23" t="s">
        <v>26</v>
      </c>
      <c r="D4" s="23" t="s">
        <v>27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4" ht="14.4">
      <c r="A5" s="15"/>
      <c r="B5" s="270" t="s">
        <v>67</v>
      </c>
      <c r="C5" s="270"/>
      <c r="D5" s="270"/>
      <c r="E5" s="270"/>
      <c r="F5" s="270"/>
      <c r="G5" s="270"/>
      <c r="H5" s="270"/>
      <c r="I5" s="270"/>
      <c r="J5" s="270"/>
    </row>
    <row r="6" spans="1:14" ht="13.8">
      <c r="A6" s="15" t="s">
        <v>37</v>
      </c>
      <c r="B6" s="233">
        <v>310.92700000000002</v>
      </c>
      <c r="C6" s="37">
        <f>C23</f>
        <v>52493.097999999998</v>
      </c>
      <c r="D6" s="262">
        <f>D23</f>
        <v>634.23588423800004</v>
      </c>
      <c r="E6" s="224">
        <f>SUM(B6:D6)</f>
        <v>53438.260884238</v>
      </c>
      <c r="F6" s="37"/>
      <c r="G6" s="37">
        <f>E6-H6-J6</f>
        <v>38520.852924328996</v>
      </c>
      <c r="H6" s="236">
        <f>H23</f>
        <v>14546.516959908999</v>
      </c>
      <c r="I6" s="37">
        <f>E6-J6</f>
        <v>53067.369884237996</v>
      </c>
      <c r="J6" s="37">
        <f>J22</f>
        <v>370.89100000000002</v>
      </c>
      <c r="M6" s="97"/>
    </row>
    <row r="7" spans="1:14" ht="16.2">
      <c r="A7" s="15" t="s">
        <v>155</v>
      </c>
      <c r="B7" s="233">
        <f>J6</f>
        <v>370.89100000000002</v>
      </c>
      <c r="C7" s="37">
        <v>54004.108999999997</v>
      </c>
      <c r="D7" s="37">
        <v>650</v>
      </c>
      <c r="E7" s="224">
        <f>SUM(B7:D7)</f>
        <v>55025</v>
      </c>
      <c r="F7" s="37"/>
      <c r="G7" s="37">
        <v>38625</v>
      </c>
      <c r="H7" s="37">
        <v>16000</v>
      </c>
      <c r="I7" s="37">
        <f>SUM(G7:H7)</f>
        <v>54625</v>
      </c>
      <c r="J7" s="37">
        <f>E7-I7</f>
        <v>400</v>
      </c>
      <c r="K7" s="144"/>
      <c r="L7" s="237"/>
    </row>
    <row r="8" spans="1:14" ht="16.2">
      <c r="A8" s="15" t="s">
        <v>156</v>
      </c>
      <c r="B8" s="233">
        <f>J7</f>
        <v>400</v>
      </c>
      <c r="C8" s="37">
        <v>57075</v>
      </c>
      <c r="D8" s="37">
        <v>600</v>
      </c>
      <c r="E8" s="224">
        <f>SUM(B8:D8)</f>
        <v>58075</v>
      </c>
      <c r="F8" s="37"/>
      <c r="G8" s="37">
        <v>40125</v>
      </c>
      <c r="H8" s="37">
        <v>17500</v>
      </c>
      <c r="I8" s="37">
        <f>SUM(G8:H8)</f>
        <v>57625</v>
      </c>
      <c r="J8" s="37">
        <f>E8-I8</f>
        <v>450</v>
      </c>
      <c r="L8" s="238"/>
    </row>
    <row r="9" spans="1:14" ht="13.8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4" ht="13.8">
      <c r="A10" s="30" t="s">
        <v>37</v>
      </c>
      <c r="B10" s="39"/>
      <c r="C10" s="6"/>
      <c r="D10" s="6"/>
      <c r="E10" s="6"/>
      <c r="F10" s="6"/>
      <c r="G10" s="6"/>
      <c r="H10" s="6"/>
      <c r="I10" s="6"/>
      <c r="J10" s="6"/>
    </row>
    <row r="11" spans="1:14" ht="14.4">
      <c r="A11" s="15" t="s">
        <v>39</v>
      </c>
      <c r="B11" s="39">
        <f>J6</f>
        <v>370.89100000000002</v>
      </c>
      <c r="C11" s="6">
        <v>4603.3959999999997</v>
      </c>
      <c r="D11" s="6">
        <f>(52509.6*1.10231)/1000</f>
        <v>57.88185717599999</v>
      </c>
      <c r="E11" s="6">
        <f t="shared" ref="E11:E22" si="0">SUM(B11:D11)</f>
        <v>5032.1688571759996</v>
      </c>
      <c r="F11" s="6"/>
      <c r="G11" s="6">
        <f>I11-H11</f>
        <v>3699.89056076</v>
      </c>
      <c r="H11" s="6">
        <f>(865513.6*1.10231)/1000</f>
        <v>954.06429641599993</v>
      </c>
      <c r="I11" s="5">
        <f>E11-J11</f>
        <v>4653.9548571759997</v>
      </c>
      <c r="J11" s="6">
        <v>378.214</v>
      </c>
      <c r="K11" s="84"/>
      <c r="M11" s="235"/>
      <c r="N11" s="235"/>
    </row>
    <row r="12" spans="1:14" ht="14.4">
      <c r="A12" s="15" t="s">
        <v>40</v>
      </c>
      <c r="B12" s="39">
        <f t="shared" ref="B12:B17" si="1">J11</f>
        <v>378.214</v>
      </c>
      <c r="C12" s="6">
        <v>4469.9660000000003</v>
      </c>
      <c r="D12" s="6">
        <f>(53341.5*1.10231)/1000</f>
        <v>58.798868864999996</v>
      </c>
      <c r="E12" s="6">
        <f t="shared" si="0"/>
        <v>4906.9788688650005</v>
      </c>
      <c r="F12" s="6"/>
      <c r="G12" s="6">
        <f t="shared" ref="G12:G19" si="2">I12-H12</f>
        <v>3367.6497962010012</v>
      </c>
      <c r="H12" s="6">
        <f>(1079754.4*1.10231)/1000</f>
        <v>1190.2240726639998</v>
      </c>
      <c r="I12" s="5">
        <f t="shared" ref="I12:I22" si="3">E12-J12</f>
        <v>4557.873868865001</v>
      </c>
      <c r="J12" s="6">
        <v>349.10500000000002</v>
      </c>
      <c r="K12" s="84"/>
      <c r="M12" s="235"/>
      <c r="N12" s="235"/>
    </row>
    <row r="13" spans="1:14" ht="14.4">
      <c r="A13" s="15" t="s">
        <v>42</v>
      </c>
      <c r="B13" s="39">
        <f t="shared" si="1"/>
        <v>349.10500000000002</v>
      </c>
      <c r="C13" s="6">
        <v>4437.4089999999997</v>
      </c>
      <c r="D13" s="6">
        <f>(32200.7*1.10231)/1000</f>
        <v>35.495153617</v>
      </c>
      <c r="E13" s="6">
        <f t="shared" si="0"/>
        <v>4822.0091536169994</v>
      </c>
      <c r="F13" s="6"/>
      <c r="G13" s="6">
        <f t="shared" si="2"/>
        <v>3180.3555711099989</v>
      </c>
      <c r="H13" s="6">
        <f>(1075719.7*1.10231)/1000</f>
        <v>1185.7765825069998</v>
      </c>
      <c r="I13" s="5">
        <f t="shared" si="3"/>
        <v>4366.1321536169989</v>
      </c>
      <c r="J13" s="6">
        <v>455.87700000000001</v>
      </c>
      <c r="K13" s="84"/>
      <c r="M13" s="235"/>
      <c r="N13" s="235"/>
    </row>
    <row r="14" spans="1:14" ht="14.4">
      <c r="A14" s="15" t="s">
        <v>43</v>
      </c>
      <c r="B14" s="39">
        <f t="shared" si="1"/>
        <v>455.87700000000001</v>
      </c>
      <c r="C14" s="6">
        <v>4540.9090000000006</v>
      </c>
      <c r="D14" s="6">
        <f>(76327.1*1.10231)/1000</f>
        <v>84.136125600999989</v>
      </c>
      <c r="E14" s="6">
        <f t="shared" si="0"/>
        <v>5080.9221256010005</v>
      </c>
      <c r="F14" s="6"/>
      <c r="G14" s="6">
        <f t="shared" si="2"/>
        <v>3114.3403980780004</v>
      </c>
      <c r="H14" s="6">
        <f>(1382293.3*1.10231)/1000</f>
        <v>1523.7157275229999</v>
      </c>
      <c r="I14" s="5">
        <f t="shared" si="3"/>
        <v>4638.0561256010005</v>
      </c>
      <c r="J14" s="6">
        <v>442.86599999999999</v>
      </c>
      <c r="K14" s="84"/>
      <c r="M14" s="235"/>
      <c r="N14" s="235"/>
    </row>
    <row r="15" spans="1:14" ht="14.4">
      <c r="A15" s="15" t="s">
        <v>44</v>
      </c>
      <c r="B15" s="39">
        <f t="shared" si="1"/>
        <v>442.86599999999999</v>
      </c>
      <c r="C15" s="6">
        <v>4197.5839999999998</v>
      </c>
      <c r="D15" s="6">
        <f>(51242.8*1.10231)/1000</f>
        <v>56.485450868000001</v>
      </c>
      <c r="E15" s="6">
        <f t="shared" si="0"/>
        <v>4696.9354508679999</v>
      </c>
      <c r="F15" s="6"/>
      <c r="G15" s="6">
        <f t="shared" si="2"/>
        <v>3216.9337009630003</v>
      </c>
      <c r="H15" s="6">
        <f>(911125.5*1.10231)/1000</f>
        <v>1004.3427499049999</v>
      </c>
      <c r="I15" s="5">
        <f t="shared" si="3"/>
        <v>4221.2764508680002</v>
      </c>
      <c r="J15" s="6">
        <v>475.65899999999999</v>
      </c>
      <c r="K15" s="84"/>
      <c r="M15" s="235"/>
      <c r="N15" s="235"/>
    </row>
    <row r="16" spans="1:14" ht="14.4">
      <c r="A16" s="15" t="s">
        <v>46</v>
      </c>
      <c r="B16" s="39">
        <f t="shared" si="1"/>
        <v>475.65899999999999</v>
      </c>
      <c r="C16" s="6">
        <v>4698.1610000000001</v>
      </c>
      <c r="D16" s="6">
        <f>(44530*1.10231)/1000</f>
        <v>49.085864299999997</v>
      </c>
      <c r="E16" s="6">
        <f t="shared" si="0"/>
        <v>5222.9058642999998</v>
      </c>
      <c r="F16" s="6"/>
      <c r="G16" s="6">
        <f t="shared" si="2"/>
        <v>3377.8488210519999</v>
      </c>
      <c r="H16" s="6">
        <f>(1329940.8*1.10231)/1000</f>
        <v>1466.0070432479999</v>
      </c>
      <c r="I16" s="5">
        <f t="shared" si="3"/>
        <v>4843.8558642999997</v>
      </c>
      <c r="J16" s="6">
        <v>379.04999999999995</v>
      </c>
      <c r="K16" s="84"/>
      <c r="M16" s="235"/>
      <c r="N16" s="235"/>
    </row>
    <row r="17" spans="1:14" ht="14.4">
      <c r="A17" s="15" t="s">
        <v>47</v>
      </c>
      <c r="B17" s="39">
        <f t="shared" si="1"/>
        <v>379.04999999999995</v>
      </c>
      <c r="C17" s="6">
        <v>4433.6350000000002</v>
      </c>
      <c r="D17" s="6">
        <f>(26587.9*1.10231)/1000</f>
        <v>29.308108048999998</v>
      </c>
      <c r="E17" s="6">
        <f t="shared" si="0"/>
        <v>4841.9931080490005</v>
      </c>
      <c r="F17" s="6"/>
      <c r="G17" s="6">
        <f t="shared" si="2"/>
        <v>3024.9898179200009</v>
      </c>
      <c r="H17" s="6">
        <f>(1124155.9*1.10231)/1000</f>
        <v>1239.1682901289998</v>
      </c>
      <c r="I17" s="5">
        <f t="shared" si="3"/>
        <v>4264.1581080490005</v>
      </c>
      <c r="J17" s="6">
        <v>577.83499999999992</v>
      </c>
      <c r="K17" s="84"/>
      <c r="M17" s="235"/>
      <c r="N17" s="235"/>
    </row>
    <row r="18" spans="1:14" ht="14.4">
      <c r="A18" s="15" t="s">
        <v>48</v>
      </c>
      <c r="B18" s="39">
        <f>J17</f>
        <v>577.83499999999992</v>
      </c>
      <c r="C18" s="6">
        <v>4461.268</v>
      </c>
      <c r="D18" s="6">
        <f>(50142.7*1.10231)/1000</f>
        <v>55.272799636999991</v>
      </c>
      <c r="E18" s="6">
        <f t="shared" si="0"/>
        <v>5094.3757996370005</v>
      </c>
      <c r="F18" s="6"/>
      <c r="G18" s="6">
        <f t="shared" si="2"/>
        <v>3496.5640024500008</v>
      </c>
      <c r="H18" s="6">
        <f>(1060747.7*1.10231)/1000</f>
        <v>1169.2727971869999</v>
      </c>
      <c r="I18" s="5">
        <f t="shared" si="3"/>
        <v>4665.8367996370007</v>
      </c>
      <c r="J18" s="6">
        <v>428.53899999999999</v>
      </c>
      <c r="K18" s="84"/>
      <c r="M18" s="235"/>
      <c r="N18" s="235"/>
    </row>
    <row r="19" spans="1:14" ht="14.4">
      <c r="A19" s="15" t="s">
        <v>50</v>
      </c>
      <c r="B19" s="39">
        <f>J18</f>
        <v>428.53899999999999</v>
      </c>
      <c r="C19" s="6">
        <v>4152.3280000000004</v>
      </c>
      <c r="D19" s="6">
        <f>(47208.3*1.10231)/1000</f>
        <v>52.038181172999998</v>
      </c>
      <c r="E19" s="6">
        <f t="shared" si="0"/>
        <v>4632.9051811730005</v>
      </c>
      <c r="F19" s="6"/>
      <c r="G19" s="6">
        <f t="shared" si="2"/>
        <v>2902.0146138540003</v>
      </c>
      <c r="H19" s="6">
        <f>(1238604.9*1.10231)/1000</f>
        <v>1365.3265673189997</v>
      </c>
      <c r="I19" s="5">
        <f>E19-J19</f>
        <v>4267.3411811730002</v>
      </c>
      <c r="J19" s="6">
        <v>365.56400000000002</v>
      </c>
      <c r="K19" s="84"/>
      <c r="M19" s="235"/>
      <c r="N19" s="235"/>
    </row>
    <row r="20" spans="1:14" ht="14.4">
      <c r="A20" s="15" t="s">
        <v>51</v>
      </c>
      <c r="B20" s="39">
        <f>J19</f>
        <v>365.56400000000002</v>
      </c>
      <c r="C20" s="6">
        <v>4362.93</v>
      </c>
      <c r="D20" s="6">
        <f>(44970.6*1.10231)/1000</f>
        <v>49.571542085999994</v>
      </c>
      <c r="E20" s="6">
        <f t="shared" si="0"/>
        <v>4778.0655420860003</v>
      </c>
      <c r="F20" s="6"/>
      <c r="G20" s="6">
        <f>I20-H20</f>
        <v>3145.9025870680007</v>
      </c>
      <c r="H20" s="6">
        <f>(1054707.8*1.10231)/1000</f>
        <v>1162.614955018</v>
      </c>
      <c r="I20" s="5">
        <f t="shared" si="3"/>
        <v>4308.5175420860005</v>
      </c>
      <c r="J20" s="6">
        <v>469.548</v>
      </c>
      <c r="K20" s="84"/>
      <c r="M20" s="235"/>
      <c r="N20" s="235"/>
    </row>
    <row r="21" spans="1:14" ht="14.4">
      <c r="A21" s="15" t="s">
        <v>52</v>
      </c>
      <c r="B21" s="39">
        <f>J20</f>
        <v>469.548</v>
      </c>
      <c r="C21" s="6">
        <v>4029.8919999999998</v>
      </c>
      <c r="D21" s="6">
        <f>(49389.3*1.10231)/1000</f>
        <v>54.442319282999996</v>
      </c>
      <c r="E21" s="6">
        <f t="shared" si="0"/>
        <v>4553.8823192829996</v>
      </c>
      <c r="F21" s="6"/>
      <c r="G21" s="6">
        <f t="shared" ref="G21:G22" si="4">I21-H21</f>
        <v>3031.4960194669993</v>
      </c>
      <c r="H21" s="6">
        <f>(1093653.6*1.10231)/1000</f>
        <v>1205.5452998160001</v>
      </c>
      <c r="I21" s="5">
        <f t="shared" si="3"/>
        <v>4237.0413192829992</v>
      </c>
      <c r="J21" s="6">
        <v>316.84100000000001</v>
      </c>
      <c r="K21" s="84"/>
      <c r="M21" s="235"/>
      <c r="N21" s="235"/>
    </row>
    <row r="22" spans="1:14" ht="14.4">
      <c r="A22" s="15" t="s">
        <v>38</v>
      </c>
      <c r="B22" s="39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0"/>
        <v>4474.1806135830002</v>
      </c>
      <c r="F22" s="6"/>
      <c r="G22" s="6">
        <f t="shared" si="4"/>
        <v>3022.8310354060004</v>
      </c>
      <c r="H22" s="6">
        <f>(980176.7*1.10231)/1000</f>
        <v>1080.4585781769999</v>
      </c>
      <c r="I22" s="5">
        <f t="shared" si="3"/>
        <v>4103.2896135830006</v>
      </c>
      <c r="J22" s="6">
        <v>370.89100000000002</v>
      </c>
      <c r="K22" s="87"/>
      <c r="M22" s="235"/>
      <c r="N22" s="235"/>
    </row>
    <row r="23" spans="1:14" ht="14.4">
      <c r="A23" s="15" t="s">
        <v>28</v>
      </c>
      <c r="B23" s="39"/>
      <c r="C23" s="6">
        <f>SUM(C11:C22)</f>
        <v>52493.097999999998</v>
      </c>
      <c r="D23" s="6">
        <f>(575369.8*1.10231)/1000</f>
        <v>634.23588423800004</v>
      </c>
      <c r="E23" s="6">
        <f>B11+C23+D23</f>
        <v>53498.224884238</v>
      </c>
      <c r="F23" s="6"/>
      <c r="G23" s="6">
        <f>SUM(G11:G22)</f>
        <v>38580.81692432901</v>
      </c>
      <c r="H23" s="224">
        <f>(13196393.9*1.10231)/1000</f>
        <v>14546.516959908999</v>
      </c>
      <c r="I23" s="5">
        <f>SUM(I11:I22)</f>
        <v>53127.333884238011</v>
      </c>
      <c r="J23" s="6"/>
      <c r="K23" s="234"/>
      <c r="M23" s="235"/>
      <c r="N23" s="34"/>
    </row>
    <row r="24" spans="1:14" ht="14.4">
      <c r="A24" s="15"/>
      <c r="B24" s="39"/>
      <c r="C24" s="6"/>
      <c r="D24" s="6"/>
      <c r="E24" s="6"/>
      <c r="F24" s="6"/>
      <c r="G24" s="6"/>
      <c r="H24" s="6"/>
      <c r="I24" s="6"/>
      <c r="J24" s="6"/>
      <c r="K24" s="84"/>
      <c r="N24" s="34"/>
    </row>
    <row r="25" spans="1:14" ht="14.4">
      <c r="A25" s="30" t="s">
        <v>54</v>
      </c>
      <c r="B25" s="39"/>
      <c r="C25" s="6"/>
      <c r="D25" s="6"/>
      <c r="E25" s="6"/>
      <c r="F25" s="6"/>
      <c r="G25" s="6"/>
      <c r="H25" s="6"/>
      <c r="I25" s="6"/>
      <c r="J25" s="6"/>
      <c r="K25" s="84"/>
      <c r="N25" s="34"/>
    </row>
    <row r="26" spans="1:14" ht="14.4">
      <c r="A26" s="15" t="s">
        <v>39</v>
      </c>
      <c r="B26" s="107">
        <f>J22</f>
        <v>370.89100000000002</v>
      </c>
      <c r="C26" s="108">
        <v>4738.4830000000002</v>
      </c>
      <c r="D26" s="6">
        <f>(43352.2*1.10231)/1000</f>
        <v>47.787563581999997</v>
      </c>
      <c r="E26" s="6">
        <f t="shared" ref="E26:E31" si="5">SUM(B26:D26)</f>
        <v>5157.1615635819999</v>
      </c>
      <c r="F26" s="6"/>
      <c r="G26" s="6">
        <f t="shared" ref="G26:G31" si="6">I26-H26</f>
        <v>3602.9976581149999</v>
      </c>
      <c r="H26" s="6">
        <f>(1106335.7*1.10231)/1000</f>
        <v>1219.5249054669998</v>
      </c>
      <c r="I26" s="100">
        <f t="shared" ref="I26:I31" si="7">E26-J26</f>
        <v>4822.5225635819997</v>
      </c>
      <c r="J26" s="108">
        <v>334.63900000000001</v>
      </c>
      <c r="K26" s="84"/>
      <c r="N26" s="34"/>
    </row>
    <row r="27" spans="1:14" ht="14.4">
      <c r="A27" s="15" t="s">
        <v>40</v>
      </c>
      <c r="B27" s="39">
        <f t="shared" ref="B27:B33" si="8">J26</f>
        <v>334.63900000000001</v>
      </c>
      <c r="C27" s="6">
        <v>4706.2079999999996</v>
      </c>
      <c r="D27" s="6">
        <f>(48390.3*1.10231)/1000</f>
        <v>53.341111593000001</v>
      </c>
      <c r="E27" s="6">
        <f t="shared" si="5"/>
        <v>5094.188111593</v>
      </c>
      <c r="F27" s="6"/>
      <c r="G27" s="6">
        <f t="shared" si="6"/>
        <v>3280.6629275390005</v>
      </c>
      <c r="H27" s="6">
        <f>(1369023.4*1.10231)/1000</f>
        <v>1509.0881840539998</v>
      </c>
      <c r="I27" s="6">
        <f t="shared" si="7"/>
        <v>4789.7511115930001</v>
      </c>
      <c r="J27" s="6">
        <v>304.43700000000001</v>
      </c>
      <c r="K27" s="84"/>
      <c r="N27" s="34"/>
    </row>
    <row r="28" spans="1:14" ht="14.4">
      <c r="A28" s="15" t="s">
        <v>42</v>
      </c>
      <c r="B28" s="39">
        <f t="shared" si="8"/>
        <v>304.43700000000001</v>
      </c>
      <c r="C28" s="6">
        <v>4818.3419999999996</v>
      </c>
      <c r="D28" s="104">
        <f>(53099.9*1.10231)/1000</f>
        <v>58.532550768999997</v>
      </c>
      <c r="E28" s="104">
        <f t="shared" si="5"/>
        <v>5181.311550769</v>
      </c>
      <c r="F28" s="104"/>
      <c r="G28" s="104">
        <f t="shared" si="6"/>
        <v>3073.843674963</v>
      </c>
      <c r="H28" s="104">
        <f>(1457582.6*1.10231)/1000</f>
        <v>1606.7078758059999</v>
      </c>
      <c r="I28" s="104">
        <f t="shared" si="7"/>
        <v>4680.5515507689997</v>
      </c>
      <c r="J28" s="6">
        <v>500.76</v>
      </c>
      <c r="K28" s="84"/>
      <c r="L28" s="34"/>
      <c r="N28" s="34"/>
    </row>
    <row r="29" spans="1:14" ht="14.4">
      <c r="A29" s="15" t="s">
        <v>43</v>
      </c>
      <c r="B29" s="39">
        <f t="shared" si="8"/>
        <v>500.76</v>
      </c>
      <c r="C29" s="6">
        <v>4595.6220000000003</v>
      </c>
      <c r="D29" s="104">
        <f>(53674.5*1.10231)/1000</f>
        <v>59.165938094999994</v>
      </c>
      <c r="E29" s="104">
        <f t="shared" si="5"/>
        <v>5155.5479380950001</v>
      </c>
      <c r="F29" s="104"/>
      <c r="G29" s="104">
        <f t="shared" si="6"/>
        <v>3288.6776487350007</v>
      </c>
      <c r="H29" s="104">
        <f>(1376056*1.10231)/1000</f>
        <v>1516.8402893599998</v>
      </c>
      <c r="I29" s="104">
        <f t="shared" si="7"/>
        <v>4805.5179380950003</v>
      </c>
      <c r="J29" s="6">
        <v>350.03</v>
      </c>
      <c r="K29" s="84"/>
      <c r="L29" s="34"/>
      <c r="M29" s="93"/>
    </row>
    <row r="30" spans="1:14" ht="14.4">
      <c r="A30" s="15" t="s">
        <v>44</v>
      </c>
      <c r="B30" s="39">
        <f t="shared" si="8"/>
        <v>350.03</v>
      </c>
      <c r="C30" s="6">
        <v>4557.0920000000006</v>
      </c>
      <c r="D30" s="104">
        <f>(57158.1*1.10231)/1000</f>
        <v>63.00594521099999</v>
      </c>
      <c r="E30" s="104">
        <f t="shared" si="5"/>
        <v>4970.1279452110002</v>
      </c>
      <c r="F30" s="104"/>
      <c r="G30" s="104">
        <f t="shared" si="6"/>
        <v>3138.4475940110005</v>
      </c>
      <c r="H30" s="104">
        <f>(1365520*1.10231)/1000</f>
        <v>1505.2263512</v>
      </c>
      <c r="I30" s="104">
        <f t="shared" si="7"/>
        <v>4643.6739452110005</v>
      </c>
      <c r="J30" s="6">
        <v>326.45400000000001</v>
      </c>
      <c r="K30" s="84"/>
      <c r="L30" s="34"/>
      <c r="M30" s="120"/>
    </row>
    <row r="31" spans="1:14" ht="14.4">
      <c r="A31" s="15" t="s">
        <v>46</v>
      </c>
      <c r="B31" s="39">
        <f t="shared" si="8"/>
        <v>326.45400000000001</v>
      </c>
      <c r="C31" s="6">
        <v>4797.4049999999997</v>
      </c>
      <c r="D31" s="104">
        <f>(52412.6*1.10231)/1000</f>
        <v>57.774933105999999</v>
      </c>
      <c r="E31" s="104">
        <f t="shared" si="5"/>
        <v>5181.6339331059999</v>
      </c>
      <c r="F31" s="104"/>
      <c r="G31" s="104">
        <f t="shared" si="6"/>
        <v>2969.6471064249995</v>
      </c>
      <c r="H31" s="104">
        <f>(1498795.1*1.10231)/1000</f>
        <v>1652.136826681</v>
      </c>
      <c r="I31" s="104">
        <f t="shared" si="7"/>
        <v>4621.7839331059995</v>
      </c>
      <c r="J31" s="6">
        <v>559.85</v>
      </c>
      <c r="K31" s="84"/>
      <c r="L31" s="34"/>
      <c r="M31" s="120"/>
    </row>
    <row r="32" spans="1:14" ht="14.4">
      <c r="A32" s="15" t="s">
        <v>47</v>
      </c>
      <c r="B32" s="39">
        <f t="shared" si="8"/>
        <v>559.85</v>
      </c>
      <c r="C32" s="6">
        <v>4205.6130000000003</v>
      </c>
      <c r="D32" s="104">
        <f>(45671.7*1.10231)/1000</f>
        <v>50.344371626999994</v>
      </c>
      <c r="E32" s="104">
        <f t="shared" ref="E32:E33" si="9">SUM(B32:D32)</f>
        <v>4815.807371627001</v>
      </c>
      <c r="F32" s="104"/>
      <c r="G32" s="104">
        <f t="shared" ref="G32:G33" si="10">I32-H32</f>
        <v>3094.5719551340007</v>
      </c>
      <c r="H32" s="104">
        <f>(1257180.3*1.10231)/1000</f>
        <v>1385.802416493</v>
      </c>
      <c r="I32" s="104">
        <f t="shared" ref="I32:I33" si="11">E32-J32</f>
        <v>4480.374371627001</v>
      </c>
      <c r="J32" s="6">
        <v>335.43299999999999</v>
      </c>
      <c r="K32" s="84"/>
      <c r="L32" s="34"/>
      <c r="M32" s="120"/>
    </row>
    <row r="33" spans="1:13" ht="14.4">
      <c r="A33" s="15" t="s">
        <v>48</v>
      </c>
      <c r="B33" s="39">
        <f t="shared" si="8"/>
        <v>335.43299999999999</v>
      </c>
      <c r="C33" s="6">
        <v>4516.8940000000002</v>
      </c>
      <c r="D33" s="104">
        <f>(61818.5*1.10231)/1000</f>
        <v>68.143150734999992</v>
      </c>
      <c r="E33" s="104">
        <f t="shared" si="9"/>
        <v>4920.4701507350001</v>
      </c>
      <c r="F33" s="104"/>
      <c r="G33" s="104">
        <f t="shared" si="10"/>
        <v>3447.8763320180005</v>
      </c>
      <c r="H33" s="104">
        <f>(1010410.7*1.10231)/1000</f>
        <v>1113.7858187169998</v>
      </c>
      <c r="I33" s="104">
        <f t="shared" si="11"/>
        <v>4561.6621507350001</v>
      </c>
      <c r="J33" s="6">
        <v>358.80800000000005</v>
      </c>
      <c r="K33" s="84"/>
      <c r="L33" s="34"/>
      <c r="M33" s="120"/>
    </row>
    <row r="34" spans="1:13" ht="16.2">
      <c r="A34" s="79" t="s">
        <v>68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3" ht="14.4">
      <c r="A35" s="15" t="s">
        <v>69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3" ht="13.8">
      <c r="A36" s="20" t="s">
        <v>57</v>
      </c>
      <c r="B36" s="36">
        <f>Contents!A16</f>
        <v>45489</v>
      </c>
      <c r="C36" s="33"/>
      <c r="D36" s="28"/>
      <c r="E36" s="28"/>
      <c r="F36" s="28"/>
      <c r="G36" s="28"/>
      <c r="H36" s="28"/>
      <c r="I36" s="28"/>
      <c r="J36" s="28"/>
    </row>
    <row r="37" spans="1:13">
      <c r="B37" s="41"/>
      <c r="C37" s="42"/>
      <c r="D37" s="41"/>
      <c r="E37" s="81"/>
      <c r="F37" s="41"/>
      <c r="G37" s="41"/>
      <c r="H37" s="43"/>
      <c r="I37" s="81"/>
      <c r="J37" s="41"/>
    </row>
    <row r="38" spans="1:13">
      <c r="B38" s="41"/>
      <c r="C38" s="41"/>
      <c r="D38" s="41"/>
      <c r="E38" s="41"/>
      <c r="F38" s="41"/>
      <c r="G38" s="41"/>
      <c r="H38" s="41"/>
      <c r="I38" s="41"/>
      <c r="J38" s="41"/>
    </row>
    <row r="39" spans="1:13">
      <c r="G39" s="34"/>
    </row>
    <row r="40" spans="1:13">
      <c r="G40" s="91"/>
    </row>
  </sheetData>
  <mergeCells count="3">
    <mergeCell ref="G2:I2"/>
    <mergeCell ref="B5:J5"/>
    <mergeCell ref="B2:E2"/>
  </mergeCells>
  <phoneticPr fontId="49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8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109375" defaultRowHeight="13.2"/>
  <cols>
    <col min="1" max="1" width="15.44140625" customWidth="1"/>
    <col min="2" max="2" width="12.44140625" bestFit="1" customWidth="1"/>
    <col min="3" max="3" width="12.10937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269" t="s">
        <v>58</v>
      </c>
      <c r="C2" s="269"/>
      <c r="D2" s="269"/>
      <c r="E2" s="269"/>
      <c r="F2" s="15"/>
      <c r="G2" s="269" t="s">
        <v>59</v>
      </c>
      <c r="H2" s="269"/>
      <c r="I2" s="269"/>
      <c r="J2" s="117"/>
      <c r="K2" s="117"/>
      <c r="L2" s="15"/>
    </row>
    <row r="3" spans="1:20" ht="13.8">
      <c r="A3" s="15" t="s">
        <v>17</v>
      </c>
      <c r="B3" s="17" t="s">
        <v>70</v>
      </c>
      <c r="C3" s="17" t="s">
        <v>26</v>
      </c>
      <c r="D3" s="17" t="s">
        <v>71</v>
      </c>
      <c r="E3" s="17" t="s">
        <v>63</v>
      </c>
      <c r="F3" s="17"/>
      <c r="G3" s="117" t="s">
        <v>64</v>
      </c>
      <c r="H3" s="117"/>
      <c r="I3" s="117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28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271" t="s">
        <v>75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20" ht="16.2">
      <c r="A6" s="15" t="s">
        <v>35</v>
      </c>
      <c r="B6" s="38">
        <v>1991.1479999999999</v>
      </c>
      <c r="C6" s="38">
        <f>C23</f>
        <v>26227.309000000001</v>
      </c>
      <c r="D6" s="239">
        <f>D23</f>
        <v>375.55383030479999</v>
      </c>
      <c r="E6" s="38">
        <f>E23</f>
        <v>28594.010830304804</v>
      </c>
      <c r="F6" s="38"/>
      <c r="G6" s="38">
        <f>K6-J6</f>
        <v>26609.028920468605</v>
      </c>
      <c r="H6" s="38">
        <f>H23</f>
        <v>12490.714000000002</v>
      </c>
      <c r="I6" s="224">
        <f>G6-H6</f>
        <v>14118.314920468603</v>
      </c>
      <c r="J6" s="38">
        <f>J23</f>
        <v>377.90990983619997</v>
      </c>
      <c r="K6" s="38">
        <f>E6-L6</f>
        <v>26986.938830304804</v>
      </c>
      <c r="L6" s="38">
        <f>L22</f>
        <v>1607.0719999999999</v>
      </c>
    </row>
    <row r="7" spans="1:20" ht="16.2">
      <c r="A7" s="15" t="s">
        <v>36</v>
      </c>
      <c r="B7" s="38">
        <f>L6</f>
        <v>1607.0719999999999</v>
      </c>
      <c r="C7" s="38">
        <v>26955</v>
      </c>
      <c r="D7" s="239">
        <v>600</v>
      </c>
      <c r="E7" s="38">
        <f>SUM(B7:D7)</f>
        <v>29162.072</v>
      </c>
      <c r="F7" s="38"/>
      <c r="G7" s="38">
        <f>SUM(H7:I7)</f>
        <v>27000</v>
      </c>
      <c r="H7" s="38">
        <v>13000</v>
      </c>
      <c r="I7" s="224">
        <v>14000</v>
      </c>
      <c r="J7" s="38">
        <v>550</v>
      </c>
      <c r="K7" s="38">
        <f>G7+J7</f>
        <v>27550</v>
      </c>
      <c r="L7" s="38">
        <f>E7-K7</f>
        <v>1612.0720000000001</v>
      </c>
      <c r="M7" s="144"/>
      <c r="N7" s="144"/>
      <c r="O7" s="144"/>
      <c r="P7" s="144"/>
      <c r="Q7" s="144"/>
      <c r="R7" s="144"/>
      <c r="S7" s="144"/>
      <c r="T7" s="144"/>
    </row>
    <row r="8" spans="1:20" ht="16.2">
      <c r="A8" s="15" t="s">
        <v>156</v>
      </c>
      <c r="B8" s="38">
        <f>L7</f>
        <v>1612.0720000000001</v>
      </c>
      <c r="C8" s="38">
        <v>28515</v>
      </c>
      <c r="D8" s="239">
        <v>450</v>
      </c>
      <c r="E8" s="38">
        <f>SUM(B8:D8)</f>
        <v>30577.072</v>
      </c>
      <c r="F8" s="38"/>
      <c r="G8" s="38">
        <v>28200</v>
      </c>
      <c r="H8" s="38">
        <v>14000</v>
      </c>
      <c r="I8" s="224">
        <v>14200</v>
      </c>
      <c r="J8" s="38">
        <v>600</v>
      </c>
      <c r="K8" s="38">
        <f>G8+J8</f>
        <v>28800</v>
      </c>
      <c r="L8" s="38">
        <f>E8-K8</f>
        <v>1777.0720000000001</v>
      </c>
    </row>
    <row r="9" spans="1:20" ht="13.8">
      <c r="A9" s="15"/>
      <c r="B9" s="38"/>
      <c r="C9" s="38"/>
      <c r="D9" s="38"/>
      <c r="E9" s="38"/>
      <c r="F9" s="38"/>
      <c r="G9" s="38"/>
      <c r="H9" s="38"/>
      <c r="I9" s="78"/>
      <c r="J9" s="38"/>
      <c r="K9" s="38"/>
      <c r="L9" s="38"/>
    </row>
    <row r="10" spans="1:20" ht="13.8">
      <c r="A10" s="30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f>B6</f>
        <v>1991.1479999999999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4358.9764372507998</v>
      </c>
      <c r="F11" s="5"/>
      <c r="G11" s="5">
        <f>K11-J11</f>
        <v>2241.9110301381997</v>
      </c>
      <c r="H11" s="106">
        <v>906.40899999999999</v>
      </c>
      <c r="I11" s="6">
        <f t="shared" ref="I11:I17" si="1">G11-H11</f>
        <v>1335.5020301381996</v>
      </c>
      <c r="J11" s="6">
        <f>(10633.3*2204.622)/1000000</f>
        <v>23.442407112599994</v>
      </c>
      <c r="K11" s="6">
        <f t="shared" ref="K11:K17" si="2">E11-L11</f>
        <v>2265.3534372507997</v>
      </c>
      <c r="L11" s="5">
        <v>2093.623</v>
      </c>
      <c r="N11" s="86"/>
      <c r="P11" s="34"/>
    </row>
    <row r="12" spans="1:20" ht="13.8">
      <c r="A12" s="15" t="s">
        <v>40</v>
      </c>
      <c r="B12" s="5">
        <f t="shared" ref="B12:B18" si="3">L11</f>
        <v>2093.623</v>
      </c>
      <c r="C12" s="6">
        <v>2199.962</v>
      </c>
      <c r="D12" s="6">
        <f>(11828.8*2204.622)/1000000</f>
        <v>26.078032713599995</v>
      </c>
      <c r="E12" s="6">
        <f t="shared" si="0"/>
        <v>4319.6630327135999</v>
      </c>
      <c r="F12" s="5"/>
      <c r="G12" s="5">
        <f t="shared" ref="G12:G18" si="4">K12-J12</f>
        <v>2183.9349958948001</v>
      </c>
      <c r="H12" s="106">
        <v>943.34199999999998</v>
      </c>
      <c r="I12" s="6">
        <f t="shared" si="1"/>
        <v>1240.5929958948</v>
      </c>
      <c r="J12" s="6">
        <f>(10635.4*2204.622)/1000000</f>
        <v>23.447036818799997</v>
      </c>
      <c r="K12" s="6">
        <f t="shared" si="2"/>
        <v>2207.3820327136</v>
      </c>
      <c r="L12" s="5">
        <v>2112.2809999999999</v>
      </c>
      <c r="N12" s="86"/>
      <c r="P12" s="34"/>
    </row>
    <row r="13" spans="1:20" ht="13.8">
      <c r="A13" s="15" t="s">
        <v>42</v>
      </c>
      <c r="B13" s="5">
        <f t="shared" si="3"/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4"/>
        <v>1989.2951492472005</v>
      </c>
      <c r="H13" s="106">
        <v>885.65899999999999</v>
      </c>
      <c r="I13" s="6">
        <f t="shared" si="1"/>
        <v>1103.6361492472006</v>
      </c>
      <c r="J13" s="6">
        <f>(15784.8*2204.622)/1000000</f>
        <v>34.799517345599995</v>
      </c>
      <c r="K13" s="6">
        <f t="shared" si="2"/>
        <v>2024.0946665928004</v>
      </c>
      <c r="L13" s="5">
        <v>2306.1469999999999</v>
      </c>
      <c r="N13" s="86"/>
      <c r="P13" s="34"/>
    </row>
    <row r="14" spans="1:20" ht="13.8">
      <c r="A14" s="15" t="s">
        <v>43</v>
      </c>
      <c r="B14" s="5">
        <f t="shared" si="3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4"/>
        <v>2211.8881890357998</v>
      </c>
      <c r="H14" s="106">
        <v>940.87400000000002</v>
      </c>
      <c r="I14" s="6">
        <f t="shared" si="1"/>
        <v>1271.0141890357997</v>
      </c>
      <c r="J14" s="6">
        <f>(6991.3*2204.622)/1000000</f>
        <v>15.4131737886</v>
      </c>
      <c r="K14" s="6">
        <f t="shared" si="2"/>
        <v>2227.3013628243998</v>
      </c>
      <c r="L14" s="5">
        <v>2356.4009999999998</v>
      </c>
      <c r="N14" s="86"/>
      <c r="P14" s="34"/>
    </row>
    <row r="15" spans="1:20" ht="13.8">
      <c r="A15" s="15" t="s">
        <v>44</v>
      </c>
      <c r="B15" s="5">
        <f t="shared" si="3"/>
        <v>2356.4009999999998</v>
      </c>
      <c r="C15" s="6">
        <v>2091.2179999999998</v>
      </c>
      <c r="D15" s="6">
        <f>(15181.4*2204.622)/1000000</f>
        <v>33.4692484308</v>
      </c>
      <c r="E15" s="6">
        <f t="shared" si="0"/>
        <v>4481.0882484307995</v>
      </c>
      <c r="F15" s="5"/>
      <c r="G15" s="5">
        <f t="shared" si="4"/>
        <v>2091.3424065663994</v>
      </c>
      <c r="H15" s="106">
        <v>909.98699999999997</v>
      </c>
      <c r="I15" s="6">
        <f t="shared" si="1"/>
        <v>1181.3554065663993</v>
      </c>
      <c r="J15" s="6">
        <f>(11770.2*2204.622)/1000000</f>
        <v>25.948841864399999</v>
      </c>
      <c r="K15" s="6">
        <f t="shared" si="2"/>
        <v>2117.2912484307994</v>
      </c>
      <c r="L15" s="5">
        <v>2363.797</v>
      </c>
      <c r="N15" s="86"/>
      <c r="P15" s="34"/>
    </row>
    <row r="16" spans="1:20" ht="13.8">
      <c r="A16" s="15" t="s">
        <v>46</v>
      </c>
      <c r="B16" s="5">
        <f t="shared" si="3"/>
        <v>2363.797</v>
      </c>
      <c r="C16" s="6">
        <v>2339.5810000000001</v>
      </c>
      <c r="D16" s="6">
        <f>(15181.4*2204.622)/1000000</f>
        <v>33.4692484308</v>
      </c>
      <c r="E16" s="6">
        <f t="shared" si="0"/>
        <v>4736.8472484308004</v>
      </c>
      <c r="F16" s="5"/>
      <c r="G16" s="5">
        <f t="shared" si="4"/>
        <v>2336.7097010100006</v>
      </c>
      <c r="H16" s="106">
        <v>952.70299999999997</v>
      </c>
      <c r="I16" s="6">
        <f t="shared" si="1"/>
        <v>1384.0067010100006</v>
      </c>
      <c r="J16" s="6">
        <f>(5726.4*2204.622)/1000000</f>
        <v>12.624547420799999</v>
      </c>
      <c r="K16" s="6">
        <f t="shared" si="2"/>
        <v>2349.3342484308005</v>
      </c>
      <c r="L16" s="5">
        <v>2387.5129999999999</v>
      </c>
      <c r="N16" s="86"/>
      <c r="P16" s="34"/>
    </row>
    <row r="17" spans="1:16" ht="13.8">
      <c r="A17" s="15" t="s">
        <v>47</v>
      </c>
      <c r="B17" s="5">
        <f t="shared" si="3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4"/>
        <v>2058.2348802817996</v>
      </c>
      <c r="H17" s="106">
        <v>926.59799999999996</v>
      </c>
      <c r="I17" s="6">
        <f t="shared" si="1"/>
        <v>1131.6368802817997</v>
      </c>
      <c r="J17" s="6">
        <f>(27498.8*2204.622)/1000000</f>
        <v>60.624459453599997</v>
      </c>
      <c r="K17" s="6">
        <f t="shared" si="2"/>
        <v>2118.8593397353998</v>
      </c>
      <c r="L17" s="5">
        <v>2539.6790000000001</v>
      </c>
      <c r="N17" s="86"/>
      <c r="P17" s="34"/>
    </row>
    <row r="18" spans="1:16" ht="13.8">
      <c r="A18" s="15" t="s">
        <v>48</v>
      </c>
      <c r="B18" s="5">
        <f t="shared" si="3"/>
        <v>2539.6790000000001</v>
      </c>
      <c r="C18" s="6">
        <v>2228.3719999999998</v>
      </c>
      <c r="D18" s="6">
        <f>(24574.9*2204.622)/1000000</f>
        <v>54.178365187799997</v>
      </c>
      <c r="E18" s="6">
        <f t="shared" si="0"/>
        <v>4822.2293651877999</v>
      </c>
      <c r="F18" s="5"/>
      <c r="G18" s="5">
        <f t="shared" si="4"/>
        <v>2386.1092736129995</v>
      </c>
      <c r="H18" s="106">
        <v>1140.8710000000001</v>
      </c>
      <c r="I18" s="6">
        <f t="shared" ref="I18:I23" si="5">G18-H18</f>
        <v>1245.2382736129994</v>
      </c>
      <c r="J18" s="6">
        <f>(22633.4*2204.622)/1000000</f>
        <v>49.898091574799999</v>
      </c>
      <c r="K18" s="6">
        <f>E18-L18</f>
        <v>2436.0073651877997</v>
      </c>
      <c r="L18" s="5">
        <v>2386.2220000000002</v>
      </c>
      <c r="N18" s="86"/>
      <c r="P18" s="34"/>
    </row>
    <row r="19" spans="1:16" ht="13.8">
      <c r="A19" s="15" t="s">
        <v>50</v>
      </c>
      <c r="B19" s="5">
        <f>L18</f>
        <v>2386.2220000000002</v>
      </c>
      <c r="C19" s="6">
        <v>2074.857</v>
      </c>
      <c r="D19" s="6">
        <f>(7902.1*2204.622)/1000000</f>
        <v>17.4211435062</v>
      </c>
      <c r="E19" s="6">
        <f>SUM(B19:D19)</f>
        <v>4478.5001435061995</v>
      </c>
      <c r="F19" s="5"/>
      <c r="G19" s="5">
        <f>K19-J19</f>
        <v>2235.0292895553998</v>
      </c>
      <c r="H19" s="106">
        <v>1206.92</v>
      </c>
      <c r="I19" s="6">
        <f t="shared" si="5"/>
        <v>1028.1092895553998</v>
      </c>
      <c r="J19" s="6">
        <f>(18341.4*2204.622)/1000000</f>
        <v>40.435853950800002</v>
      </c>
      <c r="K19" s="6">
        <f>E19-L19</f>
        <v>2275.4651435061996</v>
      </c>
      <c r="L19" s="5">
        <v>2203.0349999999999</v>
      </c>
      <c r="P19" s="34"/>
    </row>
    <row r="20" spans="1:16" ht="13.8">
      <c r="A20" s="15" t="s">
        <v>51</v>
      </c>
      <c r="B20" s="5">
        <f>L19</f>
        <v>2203.0349999999999</v>
      </c>
      <c r="C20" s="6">
        <v>2180.0360000000001</v>
      </c>
      <c r="D20" s="6">
        <f>(12819.4*2204.622)/1000000</f>
        <v>28.261931266799998</v>
      </c>
      <c r="E20" s="6">
        <f>SUM(B20:D20)</f>
        <v>4411.3329312668002</v>
      </c>
      <c r="F20" s="5"/>
      <c r="G20" s="5">
        <f>K20-J20</f>
        <v>2237.9374148913998</v>
      </c>
      <c r="H20" s="106">
        <v>1272.7660000000001</v>
      </c>
      <c r="I20" s="100">
        <f t="shared" si="5"/>
        <v>965.17141489139976</v>
      </c>
      <c r="J20" s="6">
        <f>(16870.7*2204.622)/1000000</f>
        <v>37.193516375400002</v>
      </c>
      <c r="K20" s="6">
        <f>E20-L20</f>
        <v>2275.1309312668</v>
      </c>
      <c r="L20" s="5">
        <v>2136.2020000000002</v>
      </c>
      <c r="P20" s="34"/>
    </row>
    <row r="21" spans="1:16" ht="13.8">
      <c r="A21" s="15" t="s">
        <v>52</v>
      </c>
      <c r="B21" s="5">
        <f>L20</f>
        <v>2136.2020000000002</v>
      </c>
      <c r="C21" s="102">
        <v>2014.153</v>
      </c>
      <c r="D21" s="6">
        <f>(21091.6*2204.622)/1000000</f>
        <v>46.499005375199999</v>
      </c>
      <c r="E21" s="6">
        <f>SUM(B21:D21)</f>
        <v>4196.8540053752004</v>
      </c>
      <c r="F21" s="5"/>
      <c r="G21" s="5">
        <f>K21-J21</f>
        <v>2398.3808472406004</v>
      </c>
      <c r="H21" s="106">
        <v>1197.1020000000001</v>
      </c>
      <c r="I21" s="104">
        <f t="shared" si="5"/>
        <v>1201.2788472406003</v>
      </c>
      <c r="J21" s="6">
        <f>(11834.3*2204.622)/1000000</f>
        <v>26.090158134599996</v>
      </c>
      <c r="K21" s="6">
        <f>E21-L21</f>
        <v>2424.4710053752005</v>
      </c>
      <c r="L21" s="5">
        <v>1772.383</v>
      </c>
      <c r="P21" s="34"/>
    </row>
    <row r="22" spans="1:16" ht="13.8">
      <c r="A22" s="15" t="s">
        <v>38</v>
      </c>
      <c r="B22" s="5">
        <f>L21</f>
        <v>1772.383</v>
      </c>
      <c r="C22" s="102">
        <v>2077.0740000000001</v>
      </c>
      <c r="D22" s="6">
        <f>(11301.5*2204.622)/1000000</f>
        <v>24.915535533</v>
      </c>
      <c r="E22" s="6">
        <f>SUM(B22:D22)</f>
        <v>3874.3725355330002</v>
      </c>
      <c r="F22" s="5"/>
      <c r="G22" s="5">
        <f>K22-J22</f>
        <v>2239.3080090746007</v>
      </c>
      <c r="H22" s="106">
        <v>1207.4829999999999</v>
      </c>
      <c r="I22" s="104">
        <f t="shared" si="5"/>
        <v>1031.8250090746008</v>
      </c>
      <c r="J22" s="6">
        <f>(12697.2*2204.622)/1000000</f>
        <v>27.9925264584</v>
      </c>
      <c r="K22" s="6">
        <f>E22-L22</f>
        <v>2267.3005355330006</v>
      </c>
      <c r="L22" s="5">
        <v>1607.0719999999999</v>
      </c>
      <c r="P22" s="34"/>
    </row>
    <row r="23" spans="1:16" ht="13.8">
      <c r="A23" s="15" t="s">
        <v>28</v>
      </c>
      <c r="B23" s="5"/>
      <c r="C23" s="102">
        <f>SUM(C11:C22)</f>
        <v>26227.309000000001</v>
      </c>
      <c r="D23" s="6">
        <f>(170348.4*2204.622)/1000000</f>
        <v>375.55383030479999</v>
      </c>
      <c r="E23" s="6">
        <f>B11+C23+D23</f>
        <v>28594.010830304804</v>
      </c>
      <c r="F23" s="5"/>
      <c r="G23" s="5">
        <f>SUM(G11:G22)</f>
        <v>26610.081186549203</v>
      </c>
      <c r="H23" s="106">
        <f>SUM(H11:H22)</f>
        <v>12490.714000000002</v>
      </c>
      <c r="I23" s="104">
        <f t="shared" si="5"/>
        <v>14119.367186549202</v>
      </c>
      <c r="J23" s="6">
        <f>(171417.1*2204.622)/1000000</f>
        <v>377.90990983619997</v>
      </c>
      <c r="K23" s="6">
        <f>SUM(K11:K22)</f>
        <v>26987.991316847605</v>
      </c>
      <c r="L23" s="5"/>
      <c r="P23" s="34"/>
    </row>
    <row r="24" spans="1:16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P24" s="34"/>
    </row>
    <row r="25" spans="1:16" ht="13.8">
      <c r="A25" s="30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P25" s="34"/>
    </row>
    <row r="26" spans="1:16" ht="13.8">
      <c r="A26" s="15" t="s">
        <v>39</v>
      </c>
      <c r="B26" s="5">
        <f>L22</f>
        <v>1607.0719999999999</v>
      </c>
      <c r="C26" s="6">
        <v>2375.654</v>
      </c>
      <c r="D26" s="6">
        <f>(20588.3*2204.622)/1000000</f>
        <v>45.389419122599996</v>
      </c>
      <c r="E26" s="6">
        <f t="shared" ref="E26:E27" si="6">SUM(B26:D26)</f>
        <v>4028.1154191225996</v>
      </c>
      <c r="F26" s="5"/>
      <c r="G26" s="5">
        <f t="shared" ref="G26:G32" si="7">K26-J26</f>
        <v>2513.5540054601997</v>
      </c>
      <c r="H26" s="115">
        <v>1061.944</v>
      </c>
      <c r="I26" s="104">
        <f t="shared" ref="I26" si="8">G26-H26</f>
        <v>1451.6100054601998</v>
      </c>
      <c r="J26" s="6">
        <f>(5879.2*2204.622)/1000000</f>
        <v>12.961413662399998</v>
      </c>
      <c r="K26" s="6">
        <f t="shared" ref="K26:K32" si="9">E26-L26</f>
        <v>2526.5154191225997</v>
      </c>
      <c r="L26" s="6">
        <v>1501.6</v>
      </c>
      <c r="N26" s="34"/>
      <c r="P26" s="34"/>
    </row>
    <row r="27" spans="1:16" ht="13.8">
      <c r="A27" s="15" t="s">
        <v>40</v>
      </c>
      <c r="B27" s="5">
        <f t="shared" ref="B27:B31" si="10">L26</f>
        <v>1501.6</v>
      </c>
      <c r="C27" s="6">
        <v>2324.6680000000001</v>
      </c>
      <c r="D27" s="6">
        <f>(16757.1*2204.622)/1000000</f>
        <v>36.943071316199998</v>
      </c>
      <c r="E27" s="6">
        <f t="shared" si="6"/>
        <v>3863.2110713162001</v>
      </c>
      <c r="F27" s="6"/>
      <c r="G27" s="6">
        <f t="shared" si="7"/>
        <v>2250.4175343679999</v>
      </c>
      <c r="H27" s="116">
        <v>1062.1690000000001</v>
      </c>
      <c r="I27" s="104">
        <f t="shared" ref="I27:I32" si="11">G27-H27</f>
        <v>1188.2485343679998</v>
      </c>
      <c r="J27" s="6">
        <f>(6213.1*2204.622)/1000000</f>
        <v>13.6975369482</v>
      </c>
      <c r="K27" s="6">
        <f t="shared" si="9"/>
        <v>2264.1150713162001</v>
      </c>
      <c r="L27" s="6">
        <v>1599.096</v>
      </c>
      <c r="N27" s="34"/>
      <c r="P27" s="34"/>
    </row>
    <row r="28" spans="1:16" ht="13.8">
      <c r="A28" s="15" t="s">
        <v>42</v>
      </c>
      <c r="B28" s="5">
        <f t="shared" si="10"/>
        <v>1599.096</v>
      </c>
      <c r="C28" s="6">
        <v>2376.2370000000001</v>
      </c>
      <c r="D28" s="6">
        <f>(21905.7*2204.622)/1000000</f>
        <v>48.293788145399994</v>
      </c>
      <c r="E28" s="6">
        <f t="shared" ref="E28:E33" si="12">SUM(B28:D28)</f>
        <v>4023.6267881454</v>
      </c>
      <c r="F28" s="6"/>
      <c r="G28" s="104">
        <f t="shared" si="7"/>
        <v>2186.9834934009996</v>
      </c>
      <c r="H28" s="116">
        <v>1141.32</v>
      </c>
      <c r="I28" s="104">
        <f t="shared" si="11"/>
        <v>1045.6634934009996</v>
      </c>
      <c r="J28" s="6">
        <f>(5810.2*2204.622)/1000000</f>
        <v>12.809294744399999</v>
      </c>
      <c r="K28" s="6">
        <f t="shared" si="9"/>
        <v>2199.7927881453998</v>
      </c>
      <c r="L28" s="6">
        <v>1823.8340000000001</v>
      </c>
      <c r="N28" s="34"/>
      <c r="P28" s="34"/>
    </row>
    <row r="29" spans="1:16" ht="13.8">
      <c r="A29" s="15" t="s">
        <v>43</v>
      </c>
      <c r="B29" s="5">
        <f t="shared" si="10"/>
        <v>1823.8340000000001</v>
      </c>
      <c r="C29" s="6">
        <v>2288.5720000000001</v>
      </c>
      <c r="D29" s="6">
        <f>(22995*2204.622)/1000000</f>
        <v>50.695282889999994</v>
      </c>
      <c r="E29" s="6">
        <f t="shared" si="12"/>
        <v>4163.1012828900002</v>
      </c>
      <c r="F29" s="6"/>
      <c r="G29" s="104">
        <f t="shared" si="7"/>
        <v>2122.8299197475999</v>
      </c>
      <c r="H29" s="6">
        <v>960.20299999999997</v>
      </c>
      <c r="I29" s="104">
        <f t="shared" si="11"/>
        <v>1162.6269197475999</v>
      </c>
      <c r="J29" s="6">
        <f>(5219.2*2204.622)/1000000</f>
        <v>11.506363142399998</v>
      </c>
      <c r="K29" s="6">
        <f t="shared" si="9"/>
        <v>2134.3362828899999</v>
      </c>
      <c r="L29" s="6">
        <v>2028.7650000000001</v>
      </c>
      <c r="N29" s="34"/>
    </row>
    <row r="30" spans="1:16" ht="13.8">
      <c r="A30" s="15" t="s">
        <v>44</v>
      </c>
      <c r="B30" s="5">
        <f t="shared" si="10"/>
        <v>2028.7650000000001</v>
      </c>
      <c r="C30" s="6">
        <v>2292.36</v>
      </c>
      <c r="D30" s="6">
        <f>(15950.7*2204.622)/1000000</f>
        <v>35.165264135399994</v>
      </c>
      <c r="E30" s="6">
        <f t="shared" si="12"/>
        <v>4356.2902641354003</v>
      </c>
      <c r="F30" s="6"/>
      <c r="G30" s="104">
        <f t="shared" si="7"/>
        <v>2193.7767908488004</v>
      </c>
      <c r="H30" s="6">
        <v>888.49</v>
      </c>
      <c r="I30" s="104">
        <f t="shared" si="11"/>
        <v>1305.2867908488004</v>
      </c>
      <c r="J30" s="6">
        <f>(6450.3*2204.622)/1000000</f>
        <v>14.220473286599999</v>
      </c>
      <c r="K30" s="6">
        <f t="shared" si="9"/>
        <v>2207.9972641354002</v>
      </c>
      <c r="L30" s="6">
        <v>2148.2930000000001</v>
      </c>
      <c r="N30" s="34"/>
    </row>
    <row r="31" spans="1:16" ht="13.8">
      <c r="A31" s="15" t="s">
        <v>46</v>
      </c>
      <c r="B31" s="5">
        <f t="shared" si="10"/>
        <v>2148.2930000000001</v>
      </c>
      <c r="C31" s="6">
        <v>2405.5709999999999</v>
      </c>
      <c r="D31" s="6">
        <f>(22598.7*2204.622)/1000000</f>
        <v>49.821591191399996</v>
      </c>
      <c r="E31" s="6">
        <f t="shared" si="12"/>
        <v>4603.6855911913999</v>
      </c>
      <c r="F31" s="6"/>
      <c r="G31" s="104">
        <f t="shared" si="7"/>
        <v>2135.8192490381998</v>
      </c>
      <c r="H31" s="6">
        <v>1026.1990000000001</v>
      </c>
      <c r="I31" s="104">
        <f t="shared" si="11"/>
        <v>1109.6202490381997</v>
      </c>
      <c r="J31" s="6">
        <f>(44790.6*2204.622)/1000000</f>
        <v>98.74634215319999</v>
      </c>
      <c r="K31" s="6">
        <f t="shared" si="9"/>
        <v>2234.5655911914</v>
      </c>
      <c r="L31" s="6">
        <v>2369.12</v>
      </c>
      <c r="N31" s="34"/>
    </row>
    <row r="32" spans="1:16" ht="13.8">
      <c r="A32" s="15" t="s">
        <v>47</v>
      </c>
      <c r="B32" s="5">
        <f>L31</f>
        <v>2369.12</v>
      </c>
      <c r="C32" s="6">
        <v>2097.7559999999999</v>
      </c>
      <c r="D32" s="6">
        <f>(24996.9*2204.622)/1000000</f>
        <v>55.108715671800006</v>
      </c>
      <c r="E32" s="6">
        <f t="shared" si="12"/>
        <v>4521.9847156718006</v>
      </c>
      <c r="F32" s="6"/>
      <c r="G32" s="104">
        <f t="shared" si="7"/>
        <v>2188.2718875420005</v>
      </c>
      <c r="H32" s="6">
        <v>1070.029</v>
      </c>
      <c r="I32" s="104">
        <f t="shared" si="11"/>
        <v>1118.2428875420005</v>
      </c>
      <c r="J32" s="6">
        <f>(10135.9*2204.622)/1000000</f>
        <v>22.345828129800001</v>
      </c>
      <c r="K32" s="6">
        <f t="shared" si="9"/>
        <v>2210.6177156718004</v>
      </c>
      <c r="L32" s="6">
        <v>2311.3670000000002</v>
      </c>
      <c r="N32" s="34"/>
    </row>
    <row r="33" spans="1:14" ht="13.8">
      <c r="A33" s="15" t="s">
        <v>48</v>
      </c>
      <c r="B33" s="5">
        <f>L32</f>
        <v>2311.3670000000002</v>
      </c>
      <c r="C33" s="6">
        <v>2271.018</v>
      </c>
      <c r="D33" s="6">
        <f>(40370*2204.622)/1000000</f>
        <v>89.00059014</v>
      </c>
      <c r="E33" s="6">
        <f t="shared" si="12"/>
        <v>4671.3855901400002</v>
      </c>
      <c r="F33" s="6"/>
      <c r="G33" s="104">
        <f t="shared" ref="G33" si="13">K33-J33</f>
        <v>2390.8316363152003</v>
      </c>
      <c r="H33" s="6" t="s">
        <v>76</v>
      </c>
      <c r="I33" s="6" t="s">
        <v>76</v>
      </c>
      <c r="J33" s="6">
        <f>(42508.4*2204.622)/1000000</f>
        <v>93.714953824800006</v>
      </c>
      <c r="K33" s="6">
        <f t="shared" ref="K33" si="14">E33-L33</f>
        <v>2484.5465901400003</v>
      </c>
      <c r="L33" s="6">
        <v>2186.8389999999999</v>
      </c>
      <c r="N33" s="34"/>
    </row>
    <row r="34" spans="1:14" ht="16.2">
      <c r="A34" s="79" t="s">
        <v>77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4" ht="14.4">
      <c r="A35" s="15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4" ht="13.8">
      <c r="A36" s="20" t="s">
        <v>57</v>
      </c>
      <c r="B36" s="36">
        <f>Contents!A16</f>
        <v>45489</v>
      </c>
      <c r="K36" s="34"/>
    </row>
    <row r="37" spans="1:14">
      <c r="E37" s="34"/>
    </row>
    <row r="38" spans="1:14">
      <c r="H38" s="91"/>
    </row>
  </sheetData>
  <mergeCells count="3">
    <mergeCell ref="B5:L5"/>
    <mergeCell ref="G2:I2"/>
    <mergeCell ref="B2:E2"/>
  </mergeCells>
  <phoneticPr fontId="49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85" zoomScaleNormal="85" workbookViewId="0"/>
  </sheetViews>
  <sheetFormatPr defaultColWidth="9.109375" defaultRowHeight="13.2"/>
  <cols>
    <col min="1" max="1" width="15.44140625" customWidth="1"/>
    <col min="2" max="2" width="13.109375" customWidth="1"/>
    <col min="3" max="3" width="12.10937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8.5546875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269" t="s">
        <v>58</v>
      </c>
      <c r="C2" s="269"/>
      <c r="D2" s="269"/>
      <c r="E2" s="269"/>
      <c r="F2" s="69"/>
      <c r="G2" s="269" t="s">
        <v>59</v>
      </c>
      <c r="H2" s="269"/>
      <c r="I2" s="269"/>
      <c r="J2" s="269"/>
      <c r="K2" s="69"/>
      <c r="L2" s="15"/>
      <c r="M2" s="15"/>
      <c r="N2" s="15"/>
      <c r="O2" s="15"/>
    </row>
    <row r="3" spans="1:15" ht="13.8">
      <c r="A3" s="15" t="s">
        <v>17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78</v>
      </c>
      <c r="B4" s="23" t="s">
        <v>79</v>
      </c>
      <c r="C4" s="55" t="s">
        <v>26</v>
      </c>
      <c r="D4" s="25" t="s">
        <v>71</v>
      </c>
      <c r="E4" s="23" t="s">
        <v>80</v>
      </c>
      <c r="F4" s="24"/>
      <c r="G4" s="23" t="s">
        <v>81</v>
      </c>
      <c r="H4" s="23" t="s">
        <v>30</v>
      </c>
      <c r="I4" s="23" t="s">
        <v>82</v>
      </c>
      <c r="J4" s="23" t="s">
        <v>83</v>
      </c>
      <c r="K4" s="23" t="s">
        <v>62</v>
      </c>
      <c r="L4" s="15"/>
      <c r="M4" s="15"/>
      <c r="N4" s="15"/>
      <c r="O4" s="15"/>
    </row>
    <row r="5" spans="1:15" ht="14.4">
      <c r="A5" s="15"/>
      <c r="B5" s="274" t="s">
        <v>84</v>
      </c>
      <c r="C5" s="274"/>
      <c r="D5" s="274"/>
      <c r="E5" s="274"/>
      <c r="F5" s="274"/>
      <c r="G5" s="274"/>
      <c r="H5" s="274"/>
      <c r="I5" s="274"/>
      <c r="J5" s="274"/>
      <c r="K5" s="274"/>
      <c r="L5" s="15"/>
      <c r="M5" s="15"/>
      <c r="N5" s="15"/>
      <c r="O5" s="15"/>
    </row>
    <row r="6" spans="1:15" ht="13.8">
      <c r="A6" s="15" t="s">
        <v>37</v>
      </c>
      <c r="B6" s="71">
        <v>395.42099999999999</v>
      </c>
      <c r="C6" s="71">
        <v>4415</v>
      </c>
      <c r="D6" s="240">
        <v>101.14</v>
      </c>
      <c r="E6" s="71">
        <f>B6+C6+D6</f>
        <v>4911.5610000000006</v>
      </c>
      <c r="F6" s="72"/>
      <c r="G6" s="71">
        <v>1389.82</v>
      </c>
      <c r="H6" s="241">
        <v>185.61</v>
      </c>
      <c r="I6" s="71">
        <f>J6-G6-H6</f>
        <v>2950.9960000000005</v>
      </c>
      <c r="J6" s="71">
        <f>E6-K6</f>
        <v>4526.4260000000004</v>
      </c>
      <c r="K6" s="242">
        <v>385.13499999999999</v>
      </c>
      <c r="L6" s="243"/>
      <c r="M6" s="243"/>
      <c r="N6" s="243"/>
      <c r="O6" s="15"/>
    </row>
    <row r="7" spans="1:15" ht="16.2">
      <c r="A7" s="15" t="s">
        <v>155</v>
      </c>
      <c r="B7" s="71">
        <f>K6</f>
        <v>385.13499999999999</v>
      </c>
      <c r="C7" s="71">
        <v>3644</v>
      </c>
      <c r="D7" s="240">
        <v>25</v>
      </c>
      <c r="E7" s="71">
        <f>B7+C7+D7</f>
        <v>4054.1350000000002</v>
      </c>
      <c r="F7" s="72"/>
      <c r="G7" s="71">
        <v>1400</v>
      </c>
      <c r="H7" s="241">
        <v>400</v>
      </c>
      <c r="I7" s="71">
        <v>1909</v>
      </c>
      <c r="J7" s="71">
        <f>SUM(G7:I7)</f>
        <v>3709</v>
      </c>
      <c r="K7" s="71">
        <f>E7-J7</f>
        <v>345.13500000000022</v>
      </c>
      <c r="L7" s="243"/>
      <c r="M7" s="15"/>
      <c r="N7" s="243"/>
      <c r="O7" s="15"/>
    </row>
    <row r="8" spans="1:15" ht="16.2">
      <c r="A8" s="14" t="s">
        <v>156</v>
      </c>
      <c r="B8" s="256">
        <f>K7</f>
        <v>345.13500000000022</v>
      </c>
      <c r="C8" s="256">
        <v>5315</v>
      </c>
      <c r="D8" s="257">
        <v>25</v>
      </c>
      <c r="E8" s="256">
        <f>B8+C8+D8</f>
        <v>5685.1350000000002</v>
      </c>
      <c r="F8" s="258"/>
      <c r="G8" s="256">
        <v>1600</v>
      </c>
      <c r="H8" s="259">
        <v>450</v>
      </c>
      <c r="I8" s="256">
        <v>3200</v>
      </c>
      <c r="J8" s="256">
        <f>SUM(G8:I8)</f>
        <v>5250</v>
      </c>
      <c r="K8" s="256">
        <f>E8-J8</f>
        <v>435.13500000000022</v>
      </c>
      <c r="L8" s="15"/>
      <c r="M8" s="15"/>
      <c r="N8" s="15"/>
      <c r="O8" s="15"/>
    </row>
    <row r="9" spans="1:15" ht="16.2">
      <c r="A9" s="40" t="s">
        <v>85</v>
      </c>
      <c r="B9" s="15"/>
      <c r="C9" s="70"/>
      <c r="D9" s="70"/>
      <c r="E9" s="70"/>
      <c r="F9" s="70"/>
      <c r="G9" s="73"/>
      <c r="H9" s="70"/>
      <c r="I9" s="70"/>
      <c r="J9" s="70"/>
      <c r="K9" s="15"/>
      <c r="L9" s="15"/>
      <c r="M9" s="15"/>
      <c r="N9" s="15"/>
      <c r="O9" s="15"/>
    </row>
    <row r="10" spans="1:15" ht="14.4">
      <c r="A10" s="15" t="s">
        <v>86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4">
      <c r="A11" s="15" t="s">
        <v>87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3.8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269" t="s">
        <v>58</v>
      </c>
      <c r="C15" s="269"/>
      <c r="D15" s="269"/>
      <c r="E15" s="269"/>
      <c r="F15" s="15"/>
      <c r="G15" s="269" t="s">
        <v>59</v>
      </c>
      <c r="H15" s="269"/>
      <c r="I15" s="269"/>
      <c r="J15" s="15"/>
      <c r="K15" s="15"/>
      <c r="L15" s="15"/>
      <c r="M15" s="15"/>
      <c r="N15" s="15"/>
      <c r="O15" s="15"/>
    </row>
    <row r="16" spans="1:15" ht="13.8">
      <c r="A16" s="15" t="s">
        <v>17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5" t="s">
        <v>26</v>
      </c>
      <c r="D17" s="25" t="s">
        <v>71</v>
      </c>
      <c r="E17" s="23" t="s">
        <v>83</v>
      </c>
      <c r="F17" s="24"/>
      <c r="G17" s="71" t="s">
        <v>88</v>
      </c>
      <c r="H17" s="23" t="s">
        <v>30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274" t="s">
        <v>89</v>
      </c>
      <c r="C18" s="274"/>
      <c r="D18" s="274"/>
      <c r="E18" s="274"/>
      <c r="F18" s="274"/>
      <c r="G18" s="274"/>
      <c r="H18" s="274"/>
      <c r="I18" s="274"/>
      <c r="J18" s="274"/>
      <c r="K18" s="15"/>
      <c r="L18" s="15"/>
      <c r="M18" s="15"/>
      <c r="N18" s="15"/>
      <c r="O18" s="15"/>
    </row>
    <row r="19" spans="1:15" ht="13.8">
      <c r="A19" s="15" t="s">
        <v>37</v>
      </c>
      <c r="B19" s="71">
        <v>22.315999999999999</v>
      </c>
      <c r="C19" s="241">
        <v>589.51700000000005</v>
      </c>
      <c r="D19" s="240">
        <v>0</v>
      </c>
      <c r="E19" s="241">
        <f>B19+C19+D19</f>
        <v>611.83300000000008</v>
      </c>
      <c r="F19" s="72"/>
      <c r="G19" s="241">
        <f>E19-J19-H19</f>
        <v>526.202</v>
      </c>
      <c r="H19" s="241">
        <v>53.07</v>
      </c>
      <c r="I19" s="241">
        <f>SUM(G19:H19)</f>
        <v>579.27200000000005</v>
      </c>
      <c r="J19" s="71">
        <v>32.561</v>
      </c>
      <c r="K19" s="15"/>
      <c r="L19" s="243"/>
      <c r="M19" s="15"/>
      <c r="N19" s="15"/>
      <c r="O19" s="15"/>
    </row>
    <row r="20" spans="1:15" ht="16.2">
      <c r="A20" s="15" t="s">
        <v>155</v>
      </c>
      <c r="B20" s="71">
        <f>J19</f>
        <v>32.561</v>
      </c>
      <c r="C20" s="241">
        <v>595</v>
      </c>
      <c r="D20" s="240">
        <v>0</v>
      </c>
      <c r="E20" s="241">
        <f>B20+C20+D20</f>
        <v>627.56100000000004</v>
      </c>
      <c r="F20" s="72"/>
      <c r="G20" s="241">
        <v>533</v>
      </c>
      <c r="H20" s="241">
        <v>60</v>
      </c>
      <c r="I20" s="241">
        <f>SUM(G20:H20)</f>
        <v>593</v>
      </c>
      <c r="J20" s="71">
        <f>E20-I20</f>
        <v>34.561000000000035</v>
      </c>
      <c r="K20" s="15"/>
      <c r="L20" s="15"/>
      <c r="M20" s="15"/>
      <c r="N20" s="15"/>
      <c r="O20" s="15"/>
    </row>
    <row r="21" spans="1:15" ht="16.2">
      <c r="A21" s="14" t="s">
        <v>156</v>
      </c>
      <c r="B21" s="256">
        <f>J20</f>
        <v>34.561000000000035</v>
      </c>
      <c r="C21" s="259">
        <v>705</v>
      </c>
      <c r="D21" s="257">
        <v>0</v>
      </c>
      <c r="E21" s="259">
        <f>B21+C21+D21</f>
        <v>739.56100000000004</v>
      </c>
      <c r="F21" s="258"/>
      <c r="G21" s="259">
        <v>640</v>
      </c>
      <c r="H21" s="259">
        <v>60</v>
      </c>
      <c r="I21" s="259">
        <f>SUM(G21:H21)</f>
        <v>700</v>
      </c>
      <c r="J21" s="256">
        <f>E21-I21</f>
        <v>39.561000000000035</v>
      </c>
      <c r="K21" s="15"/>
      <c r="L21" s="15"/>
      <c r="M21" s="15"/>
      <c r="N21" s="15"/>
      <c r="O21" s="15"/>
    </row>
    <row r="22" spans="1:15" ht="16.2">
      <c r="A22" s="40" t="s">
        <v>85</v>
      </c>
      <c r="B22" s="15"/>
      <c r="C22" s="70"/>
      <c r="D22" s="70"/>
      <c r="E22" s="70"/>
      <c r="F22" s="70"/>
      <c r="G22" s="70"/>
      <c r="H22" s="70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90</v>
      </c>
      <c r="B23" s="72"/>
      <c r="C23" s="72"/>
      <c r="D23" s="72"/>
      <c r="E23" s="72"/>
      <c r="F23" s="72"/>
      <c r="G23" s="72"/>
      <c r="H23" s="72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269" t="s">
        <v>58</v>
      </c>
      <c r="C27" s="269"/>
      <c r="D27" s="269"/>
      <c r="E27" s="269"/>
      <c r="F27" s="15"/>
      <c r="G27" s="269" t="s">
        <v>59</v>
      </c>
      <c r="H27" s="269"/>
      <c r="I27" s="269"/>
      <c r="J27" s="15"/>
      <c r="K27" s="15"/>
      <c r="L27" s="15"/>
      <c r="M27" s="15"/>
      <c r="N27" s="15"/>
      <c r="O27" s="15"/>
    </row>
    <row r="28" spans="1:15" ht="13.8">
      <c r="A28" s="15" t="s">
        <v>17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26</v>
      </c>
      <c r="D29" s="25" t="s">
        <v>71</v>
      </c>
      <c r="E29" s="23" t="s">
        <v>83</v>
      </c>
      <c r="F29" s="24"/>
      <c r="G29" s="23" t="s">
        <v>64</v>
      </c>
      <c r="H29" s="23" t="s">
        <v>30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274" t="s">
        <v>75</v>
      </c>
      <c r="C30" s="274"/>
      <c r="D30" s="274"/>
      <c r="E30" s="274"/>
      <c r="F30" s="274"/>
      <c r="G30" s="274"/>
      <c r="H30" s="274"/>
      <c r="I30" s="274"/>
      <c r="J30" s="274"/>
      <c r="K30" s="15"/>
      <c r="L30" s="15"/>
      <c r="M30" s="15"/>
      <c r="N30" s="15"/>
      <c r="O30" s="15"/>
    </row>
    <row r="31" spans="1:15" ht="13.8">
      <c r="A31" s="15" t="s">
        <v>37</v>
      </c>
      <c r="B31" s="240">
        <v>49.698</v>
      </c>
      <c r="C31" s="241">
        <v>365.27800000000002</v>
      </c>
      <c r="D31" s="240">
        <v>15.95</v>
      </c>
      <c r="E31" s="244">
        <f>B31+C31+D31</f>
        <v>430.92599999999999</v>
      </c>
      <c r="F31" s="72"/>
      <c r="G31" s="241">
        <v>310</v>
      </c>
      <c r="H31" s="241">
        <v>71.13</v>
      </c>
      <c r="I31" s="241">
        <f>SUM(G31:H31)</f>
        <v>381.13</v>
      </c>
      <c r="J31" s="241">
        <f>E31-I31</f>
        <v>49.795999999999992</v>
      </c>
      <c r="K31" s="15"/>
      <c r="L31" s="243"/>
      <c r="M31" s="15"/>
      <c r="N31" s="15"/>
      <c r="O31" s="15"/>
    </row>
    <row r="32" spans="1:15" ht="16.2">
      <c r="A32" s="15" t="s">
        <v>155</v>
      </c>
      <c r="B32" s="240">
        <f>J31</f>
        <v>49.795999999999992</v>
      </c>
      <c r="C32" s="241">
        <v>375</v>
      </c>
      <c r="D32" s="240">
        <v>5</v>
      </c>
      <c r="E32" s="244">
        <f>B32+C32+D32</f>
        <v>429.79599999999999</v>
      </c>
      <c r="F32" s="72"/>
      <c r="G32" s="241">
        <v>355</v>
      </c>
      <c r="H32" s="241">
        <v>25</v>
      </c>
      <c r="I32" s="241">
        <f>SUM(G32:H32)</f>
        <v>380</v>
      </c>
      <c r="J32" s="241">
        <f>E32-I32</f>
        <v>49.795999999999992</v>
      </c>
      <c r="K32" s="15"/>
      <c r="L32" s="15"/>
      <c r="M32" s="15"/>
      <c r="N32" s="15"/>
      <c r="O32" s="15"/>
    </row>
    <row r="33" spans="1:18" ht="16.2">
      <c r="A33" s="14" t="s">
        <v>156</v>
      </c>
      <c r="B33" s="257">
        <f>J32</f>
        <v>49.795999999999992</v>
      </c>
      <c r="C33" s="259">
        <v>430</v>
      </c>
      <c r="D33" s="257">
        <v>5</v>
      </c>
      <c r="E33" s="260">
        <f>B33+C33+D33</f>
        <v>484.79599999999999</v>
      </c>
      <c r="F33" s="258"/>
      <c r="G33" s="259">
        <v>385</v>
      </c>
      <c r="H33" s="259">
        <v>50</v>
      </c>
      <c r="I33" s="259">
        <f>SUM(G33:H33)</f>
        <v>435</v>
      </c>
      <c r="J33" s="259">
        <f>E33-I33</f>
        <v>49.795999999999992</v>
      </c>
      <c r="K33" s="15"/>
      <c r="L33" s="15"/>
      <c r="M33" s="15"/>
      <c r="N33" s="15"/>
      <c r="O33" s="15"/>
    </row>
    <row r="34" spans="1:18" ht="16.2">
      <c r="A34" s="40" t="s">
        <v>85</v>
      </c>
      <c r="B34" s="15"/>
      <c r="C34" s="70"/>
      <c r="D34" s="70"/>
      <c r="E34" s="70"/>
      <c r="F34" s="70"/>
      <c r="G34" s="70"/>
      <c r="H34" s="70"/>
      <c r="I34" s="15"/>
      <c r="J34" s="15"/>
      <c r="K34" s="15"/>
      <c r="L34" s="15"/>
      <c r="M34" s="15"/>
      <c r="N34" s="15"/>
      <c r="O34" s="15"/>
      <c r="R34" s="111"/>
    </row>
    <row r="35" spans="1:18" ht="14.4">
      <c r="A35" s="15" t="s">
        <v>90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11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269" t="s">
        <v>13</v>
      </c>
      <c r="C39" s="269"/>
      <c r="D39" s="17" t="s">
        <v>14</v>
      </c>
      <c r="E39" s="269" t="s">
        <v>15</v>
      </c>
      <c r="F39" s="269"/>
      <c r="G39" s="269"/>
      <c r="H39" s="269"/>
      <c r="I39" s="15"/>
      <c r="J39" s="269" t="s">
        <v>59</v>
      </c>
      <c r="K39" s="269"/>
      <c r="L39" s="269"/>
      <c r="M39" s="269"/>
      <c r="N39" s="269"/>
      <c r="O39" s="69"/>
    </row>
    <row r="40" spans="1:18" ht="13.8">
      <c r="A40" s="15" t="s">
        <v>17</v>
      </c>
      <c r="B40" s="17" t="s">
        <v>18</v>
      </c>
      <c r="C40" s="17" t="s">
        <v>19</v>
      </c>
      <c r="D40" s="15"/>
      <c r="E40" s="17" t="s">
        <v>70</v>
      </c>
      <c r="F40" s="17"/>
      <c r="G40" s="17"/>
      <c r="H40" s="17"/>
      <c r="I40" s="15"/>
      <c r="J40" s="52" t="s">
        <v>88</v>
      </c>
      <c r="K40" s="17"/>
      <c r="L40" s="17" t="s">
        <v>22</v>
      </c>
      <c r="M40" s="17"/>
      <c r="N40" s="17"/>
      <c r="O40" s="17" t="s">
        <v>60</v>
      </c>
    </row>
    <row r="41" spans="1:18" ht="13.8">
      <c r="A41" s="21" t="s">
        <v>78</v>
      </c>
      <c r="B41" s="22"/>
      <c r="C41" s="22"/>
      <c r="D41" s="22"/>
      <c r="E41" s="23" t="s">
        <v>62</v>
      </c>
      <c r="F41" s="23" t="s">
        <v>26</v>
      </c>
      <c r="G41" s="23" t="s">
        <v>71</v>
      </c>
      <c r="H41" s="23" t="s">
        <v>83</v>
      </c>
      <c r="I41" s="23"/>
      <c r="J41" s="23" t="s">
        <v>91</v>
      </c>
      <c r="K41" s="23" t="s">
        <v>81</v>
      </c>
      <c r="L41" s="23" t="s">
        <v>29</v>
      </c>
      <c r="M41" s="25" t="s">
        <v>30</v>
      </c>
      <c r="N41" s="23" t="s">
        <v>63</v>
      </c>
      <c r="O41" s="23" t="s">
        <v>66</v>
      </c>
    </row>
    <row r="42" spans="1:18" ht="14.4">
      <c r="A42" s="15"/>
      <c r="B42" s="272" t="s">
        <v>92</v>
      </c>
      <c r="C42" s="273"/>
      <c r="D42" s="74" t="s">
        <v>93</v>
      </c>
      <c r="E42" s="275" t="s">
        <v>94</v>
      </c>
      <c r="F42" s="274"/>
      <c r="G42" s="274"/>
      <c r="H42" s="274"/>
      <c r="I42" s="274"/>
      <c r="J42" s="274"/>
      <c r="K42" s="274"/>
      <c r="L42" s="274"/>
      <c r="M42" s="274"/>
      <c r="N42" s="274"/>
      <c r="O42" s="273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37</v>
      </c>
      <c r="B44" s="71">
        <v>1448.5</v>
      </c>
      <c r="C44" s="71">
        <v>1381.4</v>
      </c>
      <c r="D44" s="71">
        <f>F44*1000/C44</f>
        <v>4011.7069639496162</v>
      </c>
      <c r="E44" s="71">
        <v>2360.2570000000001</v>
      </c>
      <c r="F44" s="71">
        <v>5541.7719999999999</v>
      </c>
      <c r="G44" s="241">
        <v>102.91</v>
      </c>
      <c r="H44" s="71">
        <f>SUM(E44:G44)</f>
        <v>8004.9390000000003</v>
      </c>
      <c r="I44" s="71"/>
      <c r="J44" s="71">
        <v>3201</v>
      </c>
      <c r="K44" s="71">
        <v>794.7</v>
      </c>
      <c r="L44" s="241">
        <f>N44-J44-K44-M44</f>
        <v>779.75399999999991</v>
      </c>
      <c r="M44" s="241">
        <v>1197.117</v>
      </c>
      <c r="N44" s="71">
        <f>H44-O44</f>
        <v>5972.5709999999999</v>
      </c>
      <c r="O44" s="71">
        <v>2032.3679999999999</v>
      </c>
      <c r="P44" s="111"/>
      <c r="Q44" s="111"/>
    </row>
    <row r="45" spans="1:18" ht="16.2">
      <c r="A45" s="15" t="s">
        <v>155</v>
      </c>
      <c r="B45" s="71">
        <v>1645</v>
      </c>
      <c r="C45" s="71">
        <v>1574</v>
      </c>
      <c r="D45" s="71">
        <f>F45*1000/C45</f>
        <v>3742.0711562897077</v>
      </c>
      <c r="E45" s="71">
        <f>O44</f>
        <v>2032.3679999999999</v>
      </c>
      <c r="F45" s="71">
        <v>5890.02</v>
      </c>
      <c r="G45" s="241">
        <v>105</v>
      </c>
      <c r="H45" s="71">
        <f>SUM(E45:G45)</f>
        <v>8027.3880000000008</v>
      </c>
      <c r="I45" s="71"/>
      <c r="J45" s="71">
        <v>3090</v>
      </c>
      <c r="K45" s="71">
        <v>660</v>
      </c>
      <c r="L45" s="241">
        <v>755</v>
      </c>
      <c r="M45" s="241">
        <v>1500</v>
      </c>
      <c r="N45" s="71">
        <f>SUM(J45:M45)</f>
        <v>6005</v>
      </c>
      <c r="O45" s="71">
        <f>H45-N45</f>
        <v>2022.3880000000008</v>
      </c>
      <c r="P45" s="111"/>
      <c r="Q45" s="111"/>
    </row>
    <row r="46" spans="1:18" ht="16.2">
      <c r="A46" s="14" t="s">
        <v>156</v>
      </c>
      <c r="B46" s="256">
        <v>1757</v>
      </c>
      <c r="C46" s="256">
        <v>1702</v>
      </c>
      <c r="D46" s="256">
        <v>4000</v>
      </c>
      <c r="E46" s="256">
        <f>O45</f>
        <v>2022.3880000000008</v>
      </c>
      <c r="F46" s="256">
        <v>6810</v>
      </c>
      <c r="G46" s="259">
        <v>100</v>
      </c>
      <c r="H46" s="256">
        <f>SUM(E46:G46)</f>
        <v>8932.3880000000008</v>
      </c>
      <c r="I46" s="256"/>
      <c r="J46" s="256">
        <v>3297</v>
      </c>
      <c r="K46" s="256">
        <v>875</v>
      </c>
      <c r="L46" s="259">
        <v>782.75</v>
      </c>
      <c r="M46" s="259">
        <v>1500</v>
      </c>
      <c r="N46" s="261">
        <f>SUM(J46:M46)</f>
        <v>6454.75</v>
      </c>
      <c r="O46" s="256">
        <f>H46-N46</f>
        <v>2477.6380000000008</v>
      </c>
      <c r="P46" s="111"/>
      <c r="Q46" s="111"/>
    </row>
    <row r="47" spans="1:18" ht="16.2">
      <c r="A47" s="40" t="s">
        <v>85</v>
      </c>
      <c r="B47" s="15"/>
      <c r="C47" s="70"/>
      <c r="D47" s="70"/>
      <c r="E47" s="70"/>
      <c r="F47" s="70"/>
      <c r="G47" s="70"/>
      <c r="H47" s="70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5">
        <f>Contents!A16</f>
        <v>45489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" customHeight="1">
      <c r="A51" s="76"/>
      <c r="B51" s="77"/>
      <c r="C51" s="77"/>
      <c r="D51" s="77"/>
      <c r="E51" s="77"/>
      <c r="F51" s="77"/>
      <c r="G51" s="77"/>
      <c r="H51" s="77"/>
      <c r="I51" s="77"/>
      <c r="J51" s="90"/>
      <c r="K51" s="77"/>
      <c r="L51" s="77"/>
      <c r="M51" s="77"/>
      <c r="N51" s="77"/>
      <c r="O51" s="77"/>
    </row>
    <row r="52" spans="1:15" ht="15.6">
      <c r="G52" s="60"/>
      <c r="H52" s="60"/>
    </row>
    <row r="53" spans="1:15" ht="15.6">
      <c r="G53" s="60"/>
      <c r="H53" s="60"/>
    </row>
    <row r="54" spans="1:15" ht="15.6">
      <c r="G54" s="60"/>
      <c r="H54" s="60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49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48"/>
  <sheetViews>
    <sheetView showGridLines="0" zoomScale="70" zoomScaleNormal="70" workbookViewId="0">
      <pane xSplit="1" ySplit="4" topLeftCell="B5" activePane="bottomRight" state="frozen"/>
      <selection activeCell="F62" sqref="F62"/>
      <selection pane="topRight" activeCell="F62" sqref="F62"/>
      <selection pane="bottomLeft" activeCell="F62" sqref="F62"/>
      <selection pane="bottomRight"/>
    </sheetView>
  </sheetViews>
  <sheetFormatPr defaultColWidth="9.109375" defaultRowHeight="13.2"/>
  <cols>
    <col min="1" max="1" width="11.5546875" customWidth="1"/>
    <col min="2" max="2" width="18.88671875" bestFit="1" customWidth="1"/>
    <col min="3" max="3" width="22.109375" bestFit="1" customWidth="1"/>
    <col min="4" max="4" width="23.88671875" customWidth="1"/>
    <col min="5" max="5" width="25.44140625" customWidth="1"/>
    <col min="6" max="6" width="16.5546875" bestFit="1" customWidth="1"/>
    <col min="7" max="7" width="18.88671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96</v>
      </c>
      <c r="B2" s="17" t="s">
        <v>97</v>
      </c>
      <c r="C2" s="17" t="s">
        <v>98</v>
      </c>
      <c r="D2" s="17" t="s">
        <v>99</v>
      </c>
      <c r="E2" s="17" t="s">
        <v>100</v>
      </c>
      <c r="F2" s="17" t="s">
        <v>101</v>
      </c>
      <c r="G2" s="17" t="s">
        <v>102</v>
      </c>
    </row>
    <row r="3" spans="1:10" ht="15.6" customHeight="1">
      <c r="A3" s="14" t="s">
        <v>103</v>
      </c>
      <c r="B3" s="24"/>
      <c r="C3" s="44"/>
      <c r="D3" s="44"/>
      <c r="E3" s="44"/>
      <c r="F3" s="44"/>
      <c r="G3" s="44"/>
    </row>
    <row r="4" spans="1:10" ht="14.4">
      <c r="A4" s="45"/>
      <c r="B4" s="46" t="s">
        <v>104</v>
      </c>
      <c r="C4" s="46" t="s">
        <v>105</v>
      </c>
      <c r="D4" s="46" t="s">
        <v>106</v>
      </c>
      <c r="E4" s="46" t="s">
        <v>106</v>
      </c>
      <c r="F4" s="46" t="s">
        <v>107</v>
      </c>
      <c r="G4" s="46" t="s">
        <v>104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108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61"/>
    </row>
    <row r="7" spans="1:10" ht="13.8">
      <c r="A7" s="15" t="s">
        <v>109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61"/>
    </row>
    <row r="8" spans="1:10" ht="13.8">
      <c r="A8" s="15" t="s">
        <v>110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61"/>
    </row>
    <row r="9" spans="1:10" ht="13.8">
      <c r="A9" s="15" t="s">
        <v>111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61"/>
    </row>
    <row r="10" spans="1:10" ht="13.8">
      <c r="A10" s="15" t="s">
        <v>112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61"/>
    </row>
    <row r="11" spans="1:10" ht="13.8">
      <c r="A11" s="15" t="s">
        <v>113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61"/>
    </row>
    <row r="12" spans="1:10" ht="13.8">
      <c r="A12" s="15" t="s">
        <v>114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61"/>
    </row>
    <row r="13" spans="1:10" ht="13.8">
      <c r="A13" s="15" t="s">
        <v>115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61"/>
    </row>
    <row r="14" spans="1:10" ht="13.8">
      <c r="A14" s="15" t="s">
        <v>116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61"/>
    </row>
    <row r="15" spans="1:10" ht="13.8">
      <c r="A15" s="15" t="s">
        <v>117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61"/>
    </row>
    <row r="16" spans="1:10" ht="13.8">
      <c r="A16" s="15" t="s">
        <v>118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61"/>
    </row>
    <row r="17" spans="1:10" ht="13.8">
      <c r="A17" s="15" t="s">
        <v>34</v>
      </c>
      <c r="B17" s="47">
        <v>13.3</v>
      </c>
      <c r="C17" s="47">
        <v>243</v>
      </c>
      <c r="D17" s="92">
        <v>32.9</v>
      </c>
      <c r="E17" s="47">
        <v>32.9</v>
      </c>
      <c r="F17" s="47">
        <v>24.3</v>
      </c>
      <c r="G17" s="47">
        <v>25.9</v>
      </c>
      <c r="J17" s="61"/>
    </row>
    <row r="18" spans="1:10" ht="13.8">
      <c r="A18" s="15" t="s">
        <v>37</v>
      </c>
      <c r="B18" s="47">
        <v>14.2</v>
      </c>
      <c r="C18" s="92">
        <v>306</v>
      </c>
      <c r="D18" s="47">
        <v>27.8</v>
      </c>
      <c r="E18" s="47">
        <v>29.8</v>
      </c>
      <c r="F18" s="47">
        <v>26.8</v>
      </c>
      <c r="G18" s="92">
        <v>17.5</v>
      </c>
      <c r="H18" s="103"/>
      <c r="J18" s="61"/>
    </row>
    <row r="19" spans="1:10" ht="16.2">
      <c r="A19" s="15" t="s">
        <v>119</v>
      </c>
      <c r="B19" s="47">
        <v>12.5</v>
      </c>
      <c r="C19" s="47">
        <v>211</v>
      </c>
      <c r="D19" s="92">
        <v>20.25</v>
      </c>
      <c r="E19" s="47">
        <v>24.4</v>
      </c>
      <c r="F19" s="47">
        <v>27</v>
      </c>
      <c r="G19" s="92">
        <v>12.25</v>
      </c>
      <c r="H19" s="103"/>
      <c r="J19" s="61"/>
    </row>
    <row r="20" spans="1:10" ht="16.2">
      <c r="A20" s="15" t="s">
        <v>154</v>
      </c>
      <c r="B20" s="47">
        <v>11.1</v>
      </c>
      <c r="C20" s="47">
        <v>205</v>
      </c>
      <c r="D20" s="92">
        <v>21.150000000000002</v>
      </c>
      <c r="E20" s="47">
        <v>22</v>
      </c>
      <c r="F20" s="47">
        <v>25.5</v>
      </c>
      <c r="G20" s="92">
        <v>13.75</v>
      </c>
      <c r="H20" s="103"/>
      <c r="J20" s="61"/>
    </row>
    <row r="21" spans="1:10" ht="13.8">
      <c r="A21" s="15"/>
      <c r="B21" s="245"/>
      <c r="C21" s="48"/>
      <c r="D21" s="49"/>
      <c r="E21" s="49"/>
      <c r="F21" s="48"/>
      <c r="G21" s="50"/>
      <c r="H21" s="41"/>
      <c r="J21" s="61"/>
    </row>
    <row r="22" spans="1:10" ht="13.8">
      <c r="A22" s="51" t="s">
        <v>37</v>
      </c>
      <c r="B22" s="47"/>
      <c r="C22" s="47"/>
      <c r="D22" s="47"/>
      <c r="E22" s="47"/>
      <c r="F22" s="47"/>
      <c r="G22" s="47"/>
    </row>
    <row r="23" spans="1:10" ht="13.8">
      <c r="A23" s="15" t="s">
        <v>38</v>
      </c>
      <c r="B23" s="92">
        <v>14.2</v>
      </c>
      <c r="C23" s="47">
        <v>316</v>
      </c>
      <c r="D23" s="47">
        <v>32.9</v>
      </c>
      <c r="E23" s="47">
        <v>28.1</v>
      </c>
      <c r="F23" s="47">
        <v>25.6</v>
      </c>
      <c r="G23" s="47">
        <v>18.899999999999999</v>
      </c>
    </row>
    <row r="24" spans="1:10" ht="13.8">
      <c r="A24" s="15" t="s">
        <v>39</v>
      </c>
      <c r="B24" s="47">
        <v>13.5</v>
      </c>
      <c r="C24" s="47">
        <v>340</v>
      </c>
      <c r="D24" s="47">
        <v>29.3</v>
      </c>
      <c r="E24" s="47">
        <v>28.1</v>
      </c>
      <c r="F24" s="47">
        <v>26.400000000000002</v>
      </c>
      <c r="G24" s="47">
        <v>18.600000000000001</v>
      </c>
    </row>
    <row r="25" spans="1:10" ht="13.8">
      <c r="A25" s="15" t="s">
        <v>40</v>
      </c>
      <c r="B25" s="47">
        <v>14</v>
      </c>
      <c r="C25" s="47">
        <v>281</v>
      </c>
      <c r="D25" s="47">
        <v>28.4</v>
      </c>
      <c r="E25" s="47">
        <v>29.2</v>
      </c>
      <c r="F25" s="47">
        <v>28.799999999999997</v>
      </c>
      <c r="G25" s="47">
        <v>19.5</v>
      </c>
    </row>
    <row r="26" spans="1:10" ht="13.8">
      <c r="A26" s="15" t="s">
        <v>42</v>
      </c>
      <c r="B26" s="47">
        <v>14.4</v>
      </c>
      <c r="C26" s="47">
        <v>315</v>
      </c>
      <c r="D26" s="47">
        <v>29.5</v>
      </c>
      <c r="E26" s="47">
        <v>29.2</v>
      </c>
      <c r="F26" s="47">
        <v>24.5</v>
      </c>
      <c r="G26" s="47">
        <v>18.3</v>
      </c>
    </row>
    <row r="27" spans="1:10" ht="13.8">
      <c r="A27" s="15" t="s">
        <v>43</v>
      </c>
      <c r="B27" s="47">
        <v>14.5</v>
      </c>
      <c r="C27" s="47">
        <v>273</v>
      </c>
      <c r="D27" s="47">
        <v>29</v>
      </c>
      <c r="E27" s="47">
        <v>30.1</v>
      </c>
      <c r="F27" s="47">
        <v>27.700000000000003</v>
      </c>
      <c r="G27" s="47">
        <v>17.7</v>
      </c>
    </row>
    <row r="28" spans="1:10" ht="13.8">
      <c r="A28" s="15" t="s">
        <v>44</v>
      </c>
      <c r="B28" s="47">
        <v>15.1</v>
      </c>
      <c r="C28" s="47">
        <v>223</v>
      </c>
      <c r="D28" s="47">
        <v>29.9</v>
      </c>
      <c r="E28" s="47">
        <v>31.7</v>
      </c>
      <c r="F28" s="47">
        <v>27</v>
      </c>
      <c r="G28" s="47">
        <v>15.4</v>
      </c>
    </row>
    <row r="29" spans="1:10" ht="13.8">
      <c r="A29" s="15" t="s">
        <v>46</v>
      </c>
      <c r="B29" s="47">
        <v>14.9</v>
      </c>
      <c r="C29" s="47" t="s">
        <v>76</v>
      </c>
      <c r="D29" s="47">
        <v>27.5</v>
      </c>
      <c r="E29" s="47">
        <v>29.8</v>
      </c>
      <c r="F29" s="47">
        <v>26.700000000000003</v>
      </c>
      <c r="G29" s="47">
        <v>14.8</v>
      </c>
    </row>
    <row r="30" spans="1:10" ht="13.8">
      <c r="A30" s="15" t="s">
        <v>47</v>
      </c>
      <c r="B30" s="47">
        <v>14.9</v>
      </c>
      <c r="C30" s="47" t="s">
        <v>76</v>
      </c>
      <c r="D30" s="47">
        <v>26.9</v>
      </c>
      <c r="E30" s="47">
        <v>26.8</v>
      </c>
      <c r="F30" s="47">
        <v>27.200000000000003</v>
      </c>
      <c r="G30" s="47">
        <v>12.1</v>
      </c>
    </row>
    <row r="31" spans="1:10" ht="13.8">
      <c r="A31" s="15" t="s">
        <v>48</v>
      </c>
      <c r="B31" s="47">
        <v>14.4</v>
      </c>
      <c r="C31" s="47" t="s">
        <v>76</v>
      </c>
      <c r="D31" s="47">
        <v>24.9</v>
      </c>
      <c r="E31" s="47">
        <v>25.2</v>
      </c>
      <c r="F31" s="47">
        <v>27.700000000000003</v>
      </c>
      <c r="G31" s="47">
        <v>12.5</v>
      </c>
    </row>
    <row r="32" spans="1:10" ht="13.8">
      <c r="A32" s="15" t="s">
        <v>50</v>
      </c>
      <c r="B32" s="47">
        <v>14.2</v>
      </c>
      <c r="C32" s="47" t="s">
        <v>76</v>
      </c>
      <c r="D32" s="47">
        <v>23.6</v>
      </c>
      <c r="E32" s="47">
        <v>27.3</v>
      </c>
      <c r="F32" s="47">
        <v>27.900000000000002</v>
      </c>
      <c r="G32" s="47">
        <v>13.1</v>
      </c>
    </row>
    <row r="33" spans="1:7" ht="13.8">
      <c r="A33" s="15" t="s">
        <v>51</v>
      </c>
      <c r="B33" s="47">
        <v>14.7</v>
      </c>
      <c r="C33" s="47" t="s">
        <v>76</v>
      </c>
      <c r="D33" s="47">
        <v>25</v>
      </c>
      <c r="E33" s="47">
        <v>27.2</v>
      </c>
      <c r="F33" s="47">
        <v>27.700000000000003</v>
      </c>
      <c r="G33" s="47">
        <v>11</v>
      </c>
    </row>
    <row r="34" spans="1:7" ht="13.8">
      <c r="A34" s="15" t="s">
        <v>52</v>
      </c>
      <c r="B34" s="47">
        <v>14.1</v>
      </c>
      <c r="C34" s="47">
        <v>219</v>
      </c>
      <c r="D34" s="47">
        <v>23.6</v>
      </c>
      <c r="E34" s="47">
        <v>28.1</v>
      </c>
      <c r="F34" s="47">
        <v>27.1</v>
      </c>
      <c r="G34" s="47">
        <v>11.2</v>
      </c>
    </row>
    <row r="35" spans="1:7" ht="13.8">
      <c r="A35" s="15"/>
      <c r="B35" s="47"/>
      <c r="C35" s="47"/>
      <c r="D35" s="47"/>
      <c r="E35" s="47"/>
      <c r="F35" s="47"/>
      <c r="G35" s="47"/>
    </row>
    <row r="36" spans="1:7" ht="13.8">
      <c r="A36" s="51" t="s">
        <v>54</v>
      </c>
      <c r="B36" s="47"/>
      <c r="C36" s="47"/>
      <c r="D36" s="47"/>
      <c r="E36" s="47"/>
      <c r="F36" s="47"/>
      <c r="G36" s="47"/>
    </row>
    <row r="37" spans="1:7" ht="13.8">
      <c r="A37" s="15" t="s">
        <v>38</v>
      </c>
      <c r="B37" s="47">
        <v>13.2</v>
      </c>
      <c r="C37" s="47">
        <v>242</v>
      </c>
      <c r="D37" s="47">
        <v>24</v>
      </c>
      <c r="E37" s="47">
        <v>25.1</v>
      </c>
      <c r="F37" s="47">
        <v>26.7</v>
      </c>
      <c r="G37" s="47">
        <v>12</v>
      </c>
    </row>
    <row r="38" spans="1:7" ht="13.8">
      <c r="A38" s="15" t="s">
        <v>39</v>
      </c>
      <c r="B38" s="47">
        <v>12.7</v>
      </c>
      <c r="C38" s="47">
        <v>233</v>
      </c>
      <c r="D38" s="47">
        <v>20.100000000000001</v>
      </c>
      <c r="E38" s="47">
        <v>23.6</v>
      </c>
      <c r="F38" s="47">
        <v>26.7</v>
      </c>
      <c r="G38" s="47">
        <v>13</v>
      </c>
    </row>
    <row r="39" spans="1:7" ht="13.8">
      <c r="A39" s="15" t="s">
        <v>40</v>
      </c>
      <c r="B39" s="47">
        <v>13</v>
      </c>
      <c r="C39" s="47">
        <v>226</v>
      </c>
      <c r="D39" s="47">
        <v>22.6</v>
      </c>
      <c r="E39" s="47">
        <v>25.5</v>
      </c>
      <c r="F39" s="47">
        <v>29.5</v>
      </c>
      <c r="G39" s="47">
        <v>12.2</v>
      </c>
    </row>
    <row r="40" spans="1:7" ht="13.8">
      <c r="A40" s="15" t="s">
        <v>42</v>
      </c>
      <c r="B40" s="47">
        <v>13.1</v>
      </c>
      <c r="C40" s="47">
        <v>209</v>
      </c>
      <c r="D40" s="47">
        <v>24.2</v>
      </c>
      <c r="E40" s="47">
        <v>24.2</v>
      </c>
      <c r="F40" s="47">
        <v>24.3</v>
      </c>
      <c r="G40" s="47">
        <v>13.4</v>
      </c>
    </row>
    <row r="41" spans="1:7" ht="13.8">
      <c r="A41" s="15" t="s">
        <v>43</v>
      </c>
      <c r="B41" s="47">
        <v>12.8</v>
      </c>
      <c r="C41" s="47">
        <v>174</v>
      </c>
      <c r="D41" s="47">
        <v>21.3</v>
      </c>
      <c r="E41" s="47">
        <v>24.4</v>
      </c>
      <c r="F41" s="47">
        <v>27.1</v>
      </c>
      <c r="G41" s="47">
        <v>12.1</v>
      </c>
    </row>
    <row r="42" spans="1:7" ht="13.8">
      <c r="A42" s="15" t="s">
        <v>44</v>
      </c>
      <c r="B42" s="47">
        <v>11.9</v>
      </c>
      <c r="C42" s="47">
        <v>177</v>
      </c>
      <c r="D42" s="47">
        <v>22.4</v>
      </c>
      <c r="E42" s="47">
        <v>22.6</v>
      </c>
      <c r="F42" s="47">
        <v>26.4</v>
      </c>
      <c r="G42" s="47">
        <v>12.3</v>
      </c>
    </row>
    <row r="43" spans="1:7" ht="13.8">
      <c r="A43" s="15" t="s">
        <v>46</v>
      </c>
      <c r="B43" s="47">
        <v>11.8</v>
      </c>
      <c r="C43" s="47" t="s">
        <v>76</v>
      </c>
      <c r="D43" s="47">
        <v>22.5</v>
      </c>
      <c r="E43" s="47">
        <v>21.6</v>
      </c>
      <c r="F43" s="47">
        <v>27</v>
      </c>
      <c r="G43" s="47">
        <v>11.5</v>
      </c>
    </row>
    <row r="44" spans="1:7" ht="13.8">
      <c r="A44" s="15" t="s">
        <v>47</v>
      </c>
      <c r="B44" s="47">
        <v>11.8</v>
      </c>
      <c r="C44" s="47" t="s">
        <v>76</v>
      </c>
      <c r="D44" s="47">
        <v>20</v>
      </c>
      <c r="E44" s="47">
        <v>21.9</v>
      </c>
      <c r="F44" s="47">
        <v>27.2</v>
      </c>
      <c r="G44" s="47">
        <v>12.1</v>
      </c>
    </row>
    <row r="45" spans="1:7" ht="13.8">
      <c r="A45" s="15" t="s">
        <v>48</v>
      </c>
      <c r="B45" s="47">
        <v>11.9</v>
      </c>
      <c r="C45" s="47" t="s">
        <v>76</v>
      </c>
      <c r="D45" s="47">
        <v>22.9</v>
      </c>
      <c r="E45" s="47">
        <v>25.1</v>
      </c>
      <c r="F45" s="47">
        <v>26.7</v>
      </c>
      <c r="G45" s="47">
        <v>12.2</v>
      </c>
    </row>
    <row r="46" spans="1:7" ht="16.2">
      <c r="A46" s="69" t="s">
        <v>120</v>
      </c>
      <c r="B46" s="69"/>
      <c r="C46" s="69"/>
      <c r="D46" s="69"/>
      <c r="E46" s="69"/>
      <c r="F46" s="69"/>
      <c r="G46" s="69"/>
    </row>
    <row r="47" spans="1:7" ht="14.4">
      <c r="A47" s="15" t="s">
        <v>121</v>
      </c>
      <c r="B47" s="15"/>
      <c r="C47" s="15"/>
      <c r="D47" s="15"/>
      <c r="E47" s="15"/>
      <c r="F47" s="15"/>
      <c r="G47" s="15"/>
    </row>
    <row r="48" spans="1:7" ht="13.8">
      <c r="A48" s="20" t="s">
        <v>57</v>
      </c>
      <c r="B48" s="36">
        <f>Contents!A16</f>
        <v>45489</v>
      </c>
      <c r="C48" s="15"/>
      <c r="D48" s="15"/>
      <c r="E48" s="15"/>
      <c r="F48" s="15"/>
      <c r="G48" s="15"/>
    </row>
  </sheetData>
  <phoneticPr fontId="49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9"/>
  <sheetViews>
    <sheetView showGridLines="0" zoomScale="70" zoomScaleNormal="70" workbookViewId="0">
      <pane xSplit="1" ySplit="4" topLeftCell="B5" activePane="bottomRight" state="frozen"/>
      <selection activeCell="D37" sqref="D37:D44"/>
      <selection pane="topRight" activeCell="D37" sqref="D37:D44"/>
      <selection pane="bottomLeft" activeCell="D37" sqref="D37:D44"/>
      <selection pane="bottomRight"/>
    </sheetView>
  </sheetViews>
  <sheetFormatPr defaultColWidth="9.109375" defaultRowHeight="13.2"/>
  <cols>
    <col min="1" max="3" width="11.5546875" customWidth="1"/>
    <col min="4" max="4" width="13.5546875" customWidth="1"/>
    <col min="5" max="5" width="11.5546875" customWidth="1"/>
    <col min="6" max="6" width="11.5546875" bestFit="1" customWidth="1"/>
    <col min="7" max="7" width="13.332031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2" t="s">
        <v>96</v>
      </c>
      <c r="B2" s="17" t="s">
        <v>122</v>
      </c>
      <c r="C2" s="17" t="s">
        <v>123</v>
      </c>
      <c r="D2" s="17" t="s">
        <v>124</v>
      </c>
      <c r="E2" s="53" t="s">
        <v>125</v>
      </c>
      <c r="F2" s="53" t="s">
        <v>126</v>
      </c>
      <c r="G2" s="17" t="s">
        <v>127</v>
      </c>
      <c r="H2" s="17" t="s">
        <v>128</v>
      </c>
      <c r="I2" s="54" t="s">
        <v>129</v>
      </c>
      <c r="K2" s="17"/>
      <c r="L2" s="17"/>
    </row>
    <row r="3" spans="1:13" ht="15.6" customHeight="1">
      <c r="A3" s="55" t="s">
        <v>103</v>
      </c>
      <c r="B3" s="23" t="s">
        <v>130</v>
      </c>
      <c r="C3" s="23" t="s">
        <v>131</v>
      </c>
      <c r="D3" s="23" t="s">
        <v>132</v>
      </c>
      <c r="E3" s="23" t="s">
        <v>132</v>
      </c>
      <c r="F3" s="23" t="s">
        <v>133</v>
      </c>
      <c r="G3" s="23" t="s">
        <v>134</v>
      </c>
      <c r="H3" s="23"/>
      <c r="I3" s="23" t="s">
        <v>135</v>
      </c>
    </row>
    <row r="4" spans="1:13" ht="14.4">
      <c r="A4" s="56" t="s">
        <v>136</v>
      </c>
      <c r="C4" s="57"/>
      <c r="D4" s="57"/>
      <c r="E4" s="57"/>
      <c r="F4" s="57"/>
      <c r="G4" s="57"/>
      <c r="H4" s="57"/>
      <c r="I4" s="57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  <c r="K5" s="61"/>
    </row>
    <row r="6" spans="1:13" ht="13.8">
      <c r="A6" s="15" t="s">
        <v>108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61"/>
      <c r="L6" s="61"/>
      <c r="M6" s="61"/>
    </row>
    <row r="7" spans="1:13" ht="13.8">
      <c r="A7" s="15" t="s">
        <v>109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61"/>
      <c r="L7" s="61"/>
      <c r="M7" s="61"/>
    </row>
    <row r="8" spans="1:13" ht="13.8">
      <c r="A8" s="15" t="s">
        <v>110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61"/>
      <c r="L8" s="61"/>
      <c r="M8" s="61"/>
    </row>
    <row r="9" spans="1:13" ht="13.8">
      <c r="A9" s="15" t="s">
        <v>111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61"/>
      <c r="L9" s="61"/>
      <c r="M9" s="61"/>
    </row>
    <row r="10" spans="1:13" ht="13.8">
      <c r="A10" s="15" t="s">
        <v>112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61"/>
      <c r="L10" s="61"/>
      <c r="M10" s="61"/>
    </row>
    <row r="11" spans="1:13" ht="13.8">
      <c r="A11" s="15" t="s">
        <v>113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61"/>
      <c r="L11" s="61"/>
      <c r="M11" s="61"/>
    </row>
    <row r="12" spans="1:13" ht="13.8">
      <c r="A12" s="15" t="s">
        <v>114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61"/>
      <c r="L12" s="61"/>
      <c r="M12" s="61"/>
    </row>
    <row r="13" spans="1:13" ht="13.8">
      <c r="A13" s="15" t="s">
        <v>115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61"/>
      <c r="L13" s="61"/>
      <c r="M13" s="61"/>
    </row>
    <row r="14" spans="1:13" ht="13.8">
      <c r="A14" s="15" t="s">
        <v>116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61"/>
      <c r="L14" s="61"/>
      <c r="M14" s="61"/>
    </row>
    <row r="15" spans="1:13" ht="13.8">
      <c r="A15" s="15" t="s">
        <v>117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62</v>
      </c>
      <c r="G15" s="47">
        <v>39.47</v>
      </c>
      <c r="H15" s="47">
        <v>35.75</v>
      </c>
      <c r="I15" s="47">
        <v>38.369999999999997</v>
      </c>
      <c r="K15" s="61"/>
      <c r="L15" s="61"/>
      <c r="M15" s="61"/>
    </row>
    <row r="16" spans="1:13" ht="13.8">
      <c r="A16" s="15" t="s">
        <v>118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101.4</v>
      </c>
      <c r="G16" s="47">
        <v>53.88</v>
      </c>
      <c r="H16" s="47">
        <v>55.89</v>
      </c>
      <c r="I16" s="47">
        <v>54.98</v>
      </c>
      <c r="K16" s="61"/>
      <c r="L16" s="61"/>
      <c r="M16" s="61"/>
    </row>
    <row r="17" spans="1:13" ht="13.8">
      <c r="A17" s="15" t="s">
        <v>34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107.22</v>
      </c>
      <c r="G17" s="47">
        <v>64.28</v>
      </c>
      <c r="H17" s="47">
        <v>82</v>
      </c>
      <c r="I17" s="47">
        <v>81.84</v>
      </c>
      <c r="K17" s="61"/>
      <c r="L17" s="61"/>
      <c r="M17" s="61"/>
    </row>
    <row r="18" spans="1:13" ht="13.8">
      <c r="A18" s="15" t="s">
        <v>37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93.52</v>
      </c>
      <c r="G18" s="47">
        <v>61.62</v>
      </c>
      <c r="H18" s="47">
        <v>84.25</v>
      </c>
      <c r="I18" s="47">
        <v>76.95</v>
      </c>
      <c r="K18" s="61"/>
      <c r="L18" s="61"/>
      <c r="M18" s="61"/>
    </row>
    <row r="19" spans="1:13" ht="16.2">
      <c r="A19" s="15" t="s">
        <v>137</v>
      </c>
      <c r="B19" s="47">
        <v>48</v>
      </c>
      <c r="C19" s="47">
        <v>80</v>
      </c>
      <c r="D19" s="47">
        <v>58.5</v>
      </c>
      <c r="E19" s="47">
        <v>55.999999999999986</v>
      </c>
      <c r="F19" s="47">
        <v>76.999999999999986</v>
      </c>
      <c r="G19" s="92" t="s">
        <v>76</v>
      </c>
      <c r="H19" s="92">
        <v>55</v>
      </c>
      <c r="I19" s="92">
        <v>52</v>
      </c>
      <c r="K19" s="61"/>
      <c r="L19" s="61"/>
      <c r="M19" s="61"/>
    </row>
    <row r="20" spans="1:13" ht="16.2">
      <c r="A20" s="15" t="s">
        <v>157</v>
      </c>
      <c r="B20" s="47">
        <v>42</v>
      </c>
      <c r="C20" s="47">
        <v>70</v>
      </c>
      <c r="D20" s="47">
        <v>62</v>
      </c>
      <c r="E20" s="47">
        <v>49</v>
      </c>
      <c r="F20" s="47">
        <v>75</v>
      </c>
      <c r="G20" s="92" t="s">
        <v>76</v>
      </c>
      <c r="H20" s="92">
        <v>51</v>
      </c>
      <c r="I20" s="92">
        <v>46</v>
      </c>
      <c r="K20" s="61"/>
      <c r="L20" s="61"/>
      <c r="M20" s="61"/>
    </row>
    <row r="21" spans="1:13" ht="13.8">
      <c r="A21" s="15"/>
      <c r="B21" s="105"/>
      <c r="C21" s="105"/>
      <c r="D21" s="105"/>
      <c r="E21" s="105"/>
      <c r="F21" s="105"/>
      <c r="G21" s="105"/>
      <c r="H21" s="105"/>
      <c r="I21" s="105"/>
    </row>
    <row r="22" spans="1:13" ht="13.8">
      <c r="A22" s="30" t="s">
        <v>37</v>
      </c>
      <c r="B22" s="47"/>
      <c r="C22" s="47"/>
      <c r="D22" s="47"/>
      <c r="E22" s="47"/>
      <c r="F22" s="47"/>
      <c r="G22" s="47"/>
      <c r="H22" s="47"/>
      <c r="I22" s="47"/>
    </row>
    <row r="23" spans="1:13" ht="13.8">
      <c r="A23" s="15" t="s">
        <v>39</v>
      </c>
      <c r="B23" s="47">
        <v>72.67</v>
      </c>
      <c r="C23" s="47">
        <v>110.1875</v>
      </c>
      <c r="D23" s="47">
        <v>93.75</v>
      </c>
      <c r="E23" s="47">
        <v>80.125</v>
      </c>
      <c r="F23" s="47">
        <v>107.75</v>
      </c>
      <c r="G23" s="47">
        <v>65.412499999999994</v>
      </c>
      <c r="H23" s="47">
        <v>88</v>
      </c>
      <c r="I23" s="47">
        <v>88.5</v>
      </c>
      <c r="K23" s="61"/>
      <c r="M23" s="61"/>
    </row>
    <row r="24" spans="1:13" ht="13.8">
      <c r="A24" s="15" t="s">
        <v>40</v>
      </c>
      <c r="B24" s="47">
        <v>79.180000000000007</v>
      </c>
      <c r="C24" s="47">
        <v>116.6875</v>
      </c>
      <c r="D24" s="47">
        <v>106</v>
      </c>
      <c r="E24" s="47">
        <v>84.375</v>
      </c>
      <c r="F24" s="47">
        <v>111</v>
      </c>
      <c r="G24" s="47">
        <v>69.67</v>
      </c>
      <c r="H24" s="47" t="s">
        <v>76</v>
      </c>
      <c r="I24" s="47">
        <v>88.5</v>
      </c>
      <c r="K24" s="61"/>
      <c r="M24" s="61"/>
    </row>
    <row r="25" spans="1:13" ht="13.8">
      <c r="A25" s="15" t="s">
        <v>42</v>
      </c>
      <c r="B25" s="47">
        <v>68.14</v>
      </c>
      <c r="C25" s="47">
        <v>105.1</v>
      </c>
      <c r="D25" s="47">
        <v>92.3</v>
      </c>
      <c r="E25" s="47">
        <v>74.05</v>
      </c>
      <c r="F25" s="47">
        <v>101</v>
      </c>
      <c r="G25" s="47">
        <v>60</v>
      </c>
      <c r="H25" s="47" t="s">
        <v>76</v>
      </c>
      <c r="I25" s="47">
        <v>84</v>
      </c>
      <c r="K25" s="61"/>
      <c r="M25" s="61"/>
    </row>
    <row r="26" spans="1:13" ht="13.8">
      <c r="A26" s="15" t="s">
        <v>43</v>
      </c>
      <c r="B26" s="47">
        <v>66</v>
      </c>
      <c r="C26" s="47">
        <v>102.1875</v>
      </c>
      <c r="D26" s="47">
        <v>85.75</v>
      </c>
      <c r="E26" s="47">
        <v>71.1875</v>
      </c>
      <c r="F26" s="47">
        <v>95.375</v>
      </c>
      <c r="G26" s="47">
        <v>61</v>
      </c>
      <c r="H26" s="47">
        <v>87</v>
      </c>
      <c r="I26" s="47">
        <v>76.125</v>
      </c>
      <c r="K26" s="61"/>
      <c r="M26" s="61"/>
    </row>
    <row r="27" spans="1:13" ht="13.8">
      <c r="A27" s="15" t="s">
        <v>44</v>
      </c>
      <c r="B27" s="47">
        <v>63.242500000000007</v>
      </c>
      <c r="C27" s="47">
        <v>100</v>
      </c>
      <c r="D27" s="47">
        <v>81.25</v>
      </c>
      <c r="E27" s="47">
        <v>68.25</v>
      </c>
      <c r="F27" s="47">
        <v>88</v>
      </c>
      <c r="G27" s="47" t="s">
        <v>76</v>
      </c>
      <c r="H27" s="47" t="s">
        <v>76</v>
      </c>
      <c r="I27" s="47">
        <v>63.95</v>
      </c>
      <c r="K27" s="61"/>
      <c r="M27" s="61"/>
    </row>
    <row r="28" spans="1:13" ht="13.8">
      <c r="A28" s="15" t="s">
        <v>46</v>
      </c>
      <c r="B28" s="47">
        <v>58.83</v>
      </c>
      <c r="C28" s="47">
        <v>96.55</v>
      </c>
      <c r="D28" s="47">
        <v>76.599999999999994</v>
      </c>
      <c r="E28" s="47">
        <v>64.599999999999994</v>
      </c>
      <c r="F28" s="47">
        <v>84.4</v>
      </c>
      <c r="G28" s="47" t="s">
        <v>76</v>
      </c>
      <c r="H28" s="47" t="s">
        <v>76</v>
      </c>
      <c r="I28" s="47">
        <v>66.25</v>
      </c>
      <c r="K28" s="61"/>
      <c r="M28" s="61"/>
    </row>
    <row r="29" spans="1:13" ht="13.8">
      <c r="A29" s="15" t="s">
        <v>47</v>
      </c>
      <c r="B29" s="47">
        <v>55.474999999999994</v>
      </c>
      <c r="C29" s="47">
        <v>92.5625</v>
      </c>
      <c r="D29" s="47">
        <v>73</v>
      </c>
      <c r="E29" s="47">
        <v>62.625</v>
      </c>
      <c r="F29" s="47">
        <v>81.75</v>
      </c>
      <c r="G29" s="47" t="s">
        <v>76</v>
      </c>
      <c r="H29" s="47">
        <v>82</v>
      </c>
      <c r="I29" s="47" t="s">
        <v>76</v>
      </c>
      <c r="K29" s="61"/>
      <c r="M29" s="61"/>
    </row>
    <row r="30" spans="1:13" ht="13.8">
      <c r="A30" s="15" t="s">
        <v>48</v>
      </c>
      <c r="B30" s="47">
        <v>52.484999999999999</v>
      </c>
      <c r="C30" s="47">
        <v>91.75</v>
      </c>
      <c r="D30" s="47">
        <v>68.625</v>
      </c>
      <c r="E30" s="47">
        <v>62.125</v>
      </c>
      <c r="F30" s="47">
        <v>85.5</v>
      </c>
      <c r="G30" s="47">
        <v>52</v>
      </c>
      <c r="H30" s="47" t="s">
        <v>76</v>
      </c>
      <c r="I30" s="47" t="s">
        <v>76</v>
      </c>
      <c r="K30" s="61"/>
      <c r="M30" s="61"/>
    </row>
    <row r="31" spans="1:13" ht="13.8">
      <c r="A31" s="15" t="s">
        <v>50</v>
      </c>
      <c r="B31" s="47">
        <v>60.007999999999996</v>
      </c>
      <c r="C31" s="47">
        <v>97.85</v>
      </c>
      <c r="D31" s="47">
        <v>67</v>
      </c>
      <c r="E31" s="47">
        <v>71.849999999999994</v>
      </c>
      <c r="F31" s="47">
        <v>89.6</v>
      </c>
      <c r="G31" s="47" t="s">
        <v>76</v>
      </c>
      <c r="H31" s="47">
        <v>80</v>
      </c>
      <c r="I31" s="47">
        <v>74.59</v>
      </c>
      <c r="K31" s="61"/>
      <c r="M31" s="61"/>
    </row>
    <row r="32" spans="1:13" ht="13.8">
      <c r="A32" s="15" t="s">
        <v>51</v>
      </c>
      <c r="B32" s="47">
        <v>70.887499999999989</v>
      </c>
      <c r="C32" s="47">
        <v>107.75</v>
      </c>
      <c r="D32" s="47">
        <v>73.25</v>
      </c>
      <c r="E32" s="47">
        <v>83</v>
      </c>
      <c r="F32" s="47">
        <v>94.25</v>
      </c>
      <c r="G32" s="47" t="s">
        <v>76</v>
      </c>
      <c r="H32" s="47" t="s">
        <v>76</v>
      </c>
      <c r="I32" s="47">
        <v>74.625</v>
      </c>
      <c r="K32" s="61"/>
      <c r="M32" s="61"/>
    </row>
    <row r="33" spans="1:13" ht="13.8">
      <c r="A33" s="15" t="s">
        <v>52</v>
      </c>
      <c r="B33" s="47">
        <v>70.966999999999999</v>
      </c>
      <c r="C33" s="47">
        <v>108.19</v>
      </c>
      <c r="D33" s="47">
        <v>72.69</v>
      </c>
      <c r="E33" s="47">
        <v>81.69</v>
      </c>
      <c r="F33" s="47">
        <v>95.25</v>
      </c>
      <c r="G33" s="47" t="s">
        <v>76</v>
      </c>
      <c r="H33" s="47" t="s">
        <v>76</v>
      </c>
      <c r="I33" s="47">
        <v>76.7</v>
      </c>
      <c r="K33" s="61"/>
      <c r="M33" s="61"/>
    </row>
    <row r="34" spans="1:13" ht="13.8">
      <c r="A34" s="15" t="s">
        <v>38</v>
      </c>
      <c r="B34" s="47">
        <v>65.227999999999994</v>
      </c>
      <c r="C34" s="47">
        <v>101.5</v>
      </c>
      <c r="D34" s="47">
        <v>71.099999999999994</v>
      </c>
      <c r="E34" s="47">
        <v>73.75</v>
      </c>
      <c r="F34" s="47">
        <v>88.4</v>
      </c>
      <c r="G34" s="47" t="s">
        <v>76</v>
      </c>
      <c r="H34" s="47" t="s">
        <v>76</v>
      </c>
      <c r="I34" s="47">
        <v>76.25</v>
      </c>
      <c r="K34" s="61"/>
      <c r="M34" s="61"/>
    </row>
    <row r="35" spans="1:13" ht="13.8">
      <c r="A35" s="15"/>
      <c r="B35" s="47"/>
      <c r="C35" s="47"/>
      <c r="D35" s="47"/>
      <c r="E35" s="47"/>
      <c r="F35" s="47"/>
      <c r="G35" s="47"/>
      <c r="H35" s="47"/>
      <c r="I35" s="47"/>
      <c r="K35" s="61"/>
      <c r="M35" s="61"/>
    </row>
    <row r="36" spans="1:13" ht="13.8">
      <c r="A36" s="30" t="s">
        <v>54</v>
      </c>
      <c r="B36" s="47"/>
      <c r="C36" s="47"/>
      <c r="D36" s="47"/>
      <c r="E36" s="47"/>
      <c r="F36" s="47"/>
      <c r="G36" s="47"/>
      <c r="H36" s="47"/>
      <c r="I36" s="47"/>
      <c r="J36" s="103"/>
      <c r="K36" s="61"/>
      <c r="M36" s="61"/>
    </row>
    <row r="37" spans="1:13" ht="13.8">
      <c r="A37" s="15" t="s">
        <v>39</v>
      </c>
      <c r="B37" s="47">
        <v>56.599999999999994</v>
      </c>
      <c r="C37" s="47">
        <v>92</v>
      </c>
      <c r="D37" s="47">
        <v>64.75</v>
      </c>
      <c r="E37" s="47">
        <v>65.1875</v>
      </c>
      <c r="F37" s="47">
        <v>83.25</v>
      </c>
      <c r="G37" s="47" t="s">
        <v>76</v>
      </c>
      <c r="H37" s="92">
        <v>90</v>
      </c>
      <c r="I37" s="47">
        <v>65.17</v>
      </c>
      <c r="J37" s="124"/>
      <c r="K37" s="61"/>
      <c r="M37" s="61"/>
    </row>
    <row r="38" spans="1:13" ht="13.8">
      <c r="A38" s="15" t="s">
        <v>40</v>
      </c>
      <c r="B38" s="47">
        <v>53.39</v>
      </c>
      <c r="C38" s="47">
        <v>86.38</v>
      </c>
      <c r="D38" s="47">
        <v>62.25</v>
      </c>
      <c r="E38" s="47">
        <v>61.63</v>
      </c>
      <c r="F38" s="47">
        <v>81.5</v>
      </c>
      <c r="G38" s="47" t="s">
        <v>76</v>
      </c>
      <c r="H38" s="92" t="s">
        <v>76</v>
      </c>
      <c r="I38" s="47">
        <v>57.024999999999999</v>
      </c>
      <c r="J38" s="124"/>
      <c r="K38" s="61"/>
      <c r="M38" s="61"/>
    </row>
    <row r="39" spans="1:13" ht="13.8">
      <c r="A39" s="15" t="s">
        <v>42</v>
      </c>
      <c r="B39" s="47">
        <v>52.33</v>
      </c>
      <c r="C39" s="47">
        <v>83.1</v>
      </c>
      <c r="D39" s="47">
        <v>58.6</v>
      </c>
      <c r="E39" s="47">
        <v>59.45</v>
      </c>
      <c r="F39" s="47">
        <v>77.8</v>
      </c>
      <c r="G39" s="47" t="s">
        <v>76</v>
      </c>
      <c r="H39" s="92">
        <v>65</v>
      </c>
      <c r="I39" s="47">
        <v>50.67</v>
      </c>
      <c r="J39" s="124"/>
      <c r="K39" s="61"/>
      <c r="M39" s="61"/>
    </row>
    <row r="40" spans="1:13" ht="13.8">
      <c r="A40" s="15" t="s">
        <v>43</v>
      </c>
      <c r="B40" s="47">
        <v>49.1</v>
      </c>
      <c r="C40" s="47">
        <v>79.5</v>
      </c>
      <c r="D40" s="47">
        <v>58.13</v>
      </c>
      <c r="E40" s="47">
        <v>57.25</v>
      </c>
      <c r="F40" s="47">
        <v>76.5</v>
      </c>
      <c r="G40" s="47" t="s">
        <v>76</v>
      </c>
      <c r="H40" s="92" t="s">
        <v>76</v>
      </c>
      <c r="I40" s="47" t="s">
        <v>76</v>
      </c>
      <c r="J40" s="124"/>
      <c r="K40" s="61"/>
      <c r="M40" s="61"/>
    </row>
    <row r="41" spans="1:13" ht="13.8">
      <c r="A41" s="15" t="s">
        <v>44</v>
      </c>
      <c r="B41" s="47">
        <v>47.327500000000001</v>
      </c>
      <c r="C41" s="47">
        <v>76.5</v>
      </c>
      <c r="D41" s="47">
        <v>57.38</v>
      </c>
      <c r="E41" s="47">
        <v>53.06</v>
      </c>
      <c r="F41" s="47">
        <v>76.75</v>
      </c>
      <c r="G41" s="47" t="s">
        <v>76</v>
      </c>
      <c r="H41" s="92">
        <v>45.33</v>
      </c>
      <c r="I41" s="47">
        <v>52.5</v>
      </c>
      <c r="J41" s="124"/>
      <c r="K41" s="61"/>
      <c r="M41" s="61"/>
    </row>
    <row r="42" spans="1:13" ht="13.8">
      <c r="A42" s="15" t="s">
        <v>46</v>
      </c>
      <c r="B42" s="47">
        <v>46.957999999999998</v>
      </c>
      <c r="C42" s="47">
        <v>79.95</v>
      </c>
      <c r="D42" s="47">
        <v>57.45</v>
      </c>
      <c r="E42" s="47">
        <v>55.55</v>
      </c>
      <c r="F42" s="47">
        <v>76</v>
      </c>
      <c r="G42" s="47" t="s">
        <v>76</v>
      </c>
      <c r="H42" s="92" t="s">
        <v>76</v>
      </c>
      <c r="I42" s="47">
        <v>52</v>
      </c>
      <c r="J42" s="124"/>
      <c r="K42" s="61"/>
      <c r="M42" s="61"/>
    </row>
    <row r="43" spans="1:13" ht="13.8">
      <c r="A43" s="15" t="s">
        <v>47</v>
      </c>
      <c r="B43" s="47">
        <v>45.1325</v>
      </c>
      <c r="C43" s="47">
        <v>77.25</v>
      </c>
      <c r="D43" s="47">
        <v>56.06</v>
      </c>
      <c r="E43" s="47">
        <v>54.38</v>
      </c>
      <c r="F43" s="47">
        <v>75.13</v>
      </c>
      <c r="G43" s="47" t="s">
        <v>76</v>
      </c>
      <c r="H43" s="92">
        <v>41</v>
      </c>
      <c r="I43" s="47">
        <v>52.17</v>
      </c>
      <c r="J43" s="124"/>
      <c r="K43" s="61"/>
      <c r="M43" s="61"/>
    </row>
    <row r="44" spans="1:13" ht="13.8">
      <c r="A44" s="15" t="s">
        <v>48</v>
      </c>
      <c r="B44" s="47">
        <v>43.302</v>
      </c>
      <c r="C44" s="47">
        <v>74.55</v>
      </c>
      <c r="D44" s="47">
        <v>54.6</v>
      </c>
      <c r="E44" s="47">
        <v>52.75</v>
      </c>
      <c r="F44" s="47">
        <v>73.8</v>
      </c>
      <c r="G44" s="47" t="s">
        <v>76</v>
      </c>
      <c r="H44" s="92">
        <v>42</v>
      </c>
      <c r="I44" s="47">
        <v>48.875</v>
      </c>
      <c r="J44" s="124"/>
      <c r="K44" s="61"/>
      <c r="M44" s="61"/>
    </row>
    <row r="45" spans="1:13" ht="13.8">
      <c r="A45" s="15" t="s">
        <v>50</v>
      </c>
      <c r="B45" s="47">
        <v>42.5075</v>
      </c>
      <c r="C45" s="47">
        <v>74.38</v>
      </c>
      <c r="D45" s="47">
        <v>58.88</v>
      </c>
      <c r="E45" s="47">
        <v>51.31</v>
      </c>
      <c r="F45" s="47">
        <v>77.5</v>
      </c>
      <c r="G45" s="47" t="s">
        <v>76</v>
      </c>
      <c r="H45" s="92">
        <v>46</v>
      </c>
      <c r="I45" s="47">
        <v>54.1</v>
      </c>
      <c r="J45" s="124"/>
      <c r="K45" s="61"/>
      <c r="M45" s="61"/>
    </row>
    <row r="46" spans="1:13" ht="16.2">
      <c r="A46" s="79" t="s">
        <v>138</v>
      </c>
      <c r="B46" s="112"/>
      <c r="C46" s="112"/>
      <c r="D46" s="112"/>
      <c r="E46" s="112"/>
      <c r="F46" s="112"/>
      <c r="G46" s="112"/>
      <c r="H46" s="112"/>
      <c r="I46" s="113"/>
    </row>
    <row r="47" spans="1:13" ht="16.2">
      <c r="A47" s="15" t="s">
        <v>139</v>
      </c>
      <c r="B47" s="59"/>
      <c r="C47" s="59"/>
      <c r="D47" s="59"/>
      <c r="E47" s="59"/>
      <c r="F47" s="59"/>
      <c r="G47" s="59"/>
      <c r="H47" s="59"/>
      <c r="I47" s="59"/>
    </row>
    <row r="48" spans="1:13" ht="14.4">
      <c r="A48" s="15" t="s">
        <v>140</v>
      </c>
      <c r="B48" s="15"/>
      <c r="C48" s="15"/>
      <c r="D48" s="15"/>
      <c r="E48" s="15"/>
      <c r="F48" s="59"/>
      <c r="G48" s="15"/>
      <c r="H48" s="15"/>
      <c r="I48" s="15"/>
    </row>
    <row r="49" spans="1:9" ht="13.8">
      <c r="A49" s="20" t="s">
        <v>57</v>
      </c>
      <c r="B49" s="36">
        <f>Contents!A16</f>
        <v>45489</v>
      </c>
      <c r="C49" s="15"/>
      <c r="D49" s="15"/>
      <c r="E49" s="15"/>
      <c r="F49" s="15"/>
      <c r="G49" s="15"/>
      <c r="H49" s="15"/>
      <c r="I49" s="15"/>
    </row>
    <row r="50" spans="1:9" ht="15.6">
      <c r="C50" s="60"/>
      <c r="G50" s="60"/>
      <c r="H50" s="60"/>
      <c r="I50" s="60"/>
    </row>
    <row r="51" spans="1:9" ht="15.6">
      <c r="B51" s="61"/>
      <c r="C51" s="61"/>
      <c r="D51" s="61"/>
      <c r="E51" s="61"/>
      <c r="F51" s="61"/>
      <c r="G51" s="61"/>
      <c r="H51" s="60"/>
      <c r="I51" s="60"/>
    </row>
    <row r="52" spans="1:9" ht="15.6">
      <c r="B52" s="85"/>
      <c r="C52" s="85"/>
      <c r="D52" s="85"/>
      <c r="E52" s="85"/>
      <c r="F52" s="85"/>
      <c r="G52" s="85"/>
      <c r="H52" s="60"/>
      <c r="I52" s="60"/>
    </row>
    <row r="53" spans="1:9" ht="15.6">
      <c r="C53" s="60"/>
      <c r="G53" s="60"/>
      <c r="H53" s="60"/>
      <c r="I53" s="60"/>
    </row>
    <row r="54" spans="1:9" ht="15.6">
      <c r="C54" s="60"/>
      <c r="G54" s="60"/>
      <c r="H54" s="60"/>
      <c r="I54" s="60"/>
    </row>
    <row r="55" spans="1:9" ht="15.6">
      <c r="C55" s="60"/>
      <c r="G55" s="60"/>
      <c r="H55" s="60"/>
      <c r="I55" s="60"/>
    </row>
    <row r="56" spans="1:9" ht="15.6">
      <c r="C56" s="60"/>
      <c r="G56" s="60"/>
      <c r="H56" s="60"/>
      <c r="I56" s="60"/>
    </row>
    <row r="57" spans="1:9" ht="15.6">
      <c r="C57" s="60"/>
      <c r="G57" s="60"/>
      <c r="H57" s="60"/>
      <c r="I57" s="60"/>
    </row>
    <row r="58" spans="1:9" ht="15.6">
      <c r="C58" s="60"/>
      <c r="G58" s="60"/>
      <c r="H58" s="60"/>
      <c r="I58" s="60"/>
    </row>
    <row r="59" spans="1:9" ht="15.6">
      <c r="C59" s="60"/>
      <c r="G59" s="60"/>
      <c r="H59" s="60"/>
      <c r="I59" s="60"/>
    </row>
    <row r="60" spans="1:9" ht="15.6">
      <c r="C60" s="60"/>
      <c r="G60" s="60"/>
      <c r="H60" s="60"/>
      <c r="I60" s="60"/>
    </row>
    <row r="61" spans="1:9" ht="15.6">
      <c r="C61" s="60"/>
      <c r="G61" s="60"/>
      <c r="H61" s="60"/>
      <c r="I61" s="60"/>
    </row>
    <row r="62" spans="1:9" ht="15.6">
      <c r="C62" s="60"/>
      <c r="G62" s="60"/>
      <c r="H62" s="60"/>
      <c r="I62" s="60"/>
    </row>
    <row r="63" spans="1:9" ht="15.6">
      <c r="C63" s="60"/>
      <c r="G63" s="60"/>
      <c r="H63" s="60"/>
      <c r="I63" s="60"/>
    </row>
    <row r="64" spans="1:9" ht="15.6">
      <c r="C64" s="60"/>
      <c r="G64" s="60"/>
      <c r="H64" s="60"/>
      <c r="I64" s="60"/>
    </row>
    <row r="65" spans="3:9" ht="15.6">
      <c r="C65" s="60"/>
      <c r="G65" s="60"/>
      <c r="H65" s="60"/>
      <c r="I65" s="60"/>
    </row>
    <row r="66" spans="3:9" ht="15.6">
      <c r="C66" s="60"/>
      <c r="H66" s="60"/>
      <c r="I66" s="60"/>
    </row>
    <row r="67" spans="3:9" ht="15.6">
      <c r="C67" s="60"/>
      <c r="H67" s="60"/>
      <c r="I67" s="60"/>
    </row>
    <row r="68" spans="3:9" ht="15.6">
      <c r="C68" s="60"/>
      <c r="F68" s="61"/>
      <c r="H68" s="60"/>
      <c r="I68" s="60"/>
    </row>
    <row r="69" spans="3:9" ht="15.6">
      <c r="F69" s="61"/>
      <c r="H69" s="60"/>
      <c r="I69" s="60"/>
    </row>
  </sheetData>
  <phoneticPr fontId="49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9"/>
  <sheetViews>
    <sheetView showGridLines="0" zoomScale="70" zoomScaleNormal="70" workbookViewId="0">
      <pane xSplit="1" ySplit="4" topLeftCell="B5" activePane="bottomRight" state="frozen"/>
      <selection activeCell="F62" sqref="F62"/>
      <selection pane="topRight" activeCell="F62" sqref="F62"/>
      <selection pane="bottomLeft" activeCell="F62" sqref="F62"/>
      <selection pane="bottomRight"/>
    </sheetView>
  </sheetViews>
  <sheetFormatPr defaultColWidth="9.10937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96</v>
      </c>
      <c r="B2" s="17" t="s">
        <v>122</v>
      </c>
      <c r="C2" s="62" t="s">
        <v>123</v>
      </c>
      <c r="D2" s="62" t="s">
        <v>124</v>
      </c>
      <c r="E2" s="62" t="s">
        <v>126</v>
      </c>
      <c r="F2" s="17" t="s">
        <v>141</v>
      </c>
      <c r="G2" s="17" t="s">
        <v>142</v>
      </c>
      <c r="AB2" s="63"/>
    </row>
    <row r="3" spans="1:28" ht="15.6" customHeight="1">
      <c r="A3" s="14" t="s">
        <v>103</v>
      </c>
      <c r="B3" s="23" t="s">
        <v>143</v>
      </c>
      <c r="C3" s="23" t="s">
        <v>144</v>
      </c>
      <c r="D3" s="23" t="s">
        <v>145</v>
      </c>
      <c r="E3" s="23" t="s">
        <v>146</v>
      </c>
      <c r="F3" s="23" t="s">
        <v>147</v>
      </c>
      <c r="G3" s="23" t="s">
        <v>148</v>
      </c>
      <c r="AB3" s="63"/>
    </row>
    <row r="4" spans="1:28" ht="14.4">
      <c r="A4" s="56" t="s">
        <v>149</v>
      </c>
      <c r="C4" s="57"/>
      <c r="D4" s="57"/>
      <c r="E4" s="57"/>
      <c r="F4" s="57"/>
      <c r="G4" s="57"/>
      <c r="AB4" s="63"/>
    </row>
    <row r="5" spans="1:28" ht="13.8">
      <c r="A5" s="15"/>
      <c r="B5" s="15"/>
      <c r="C5" s="15"/>
      <c r="D5" s="15"/>
      <c r="E5" s="15"/>
      <c r="F5" s="15"/>
      <c r="G5" s="15"/>
      <c r="AB5" s="63"/>
    </row>
    <row r="6" spans="1:28" ht="13.8">
      <c r="A6" s="15" t="s">
        <v>108</v>
      </c>
      <c r="B6" s="58">
        <v>345.52</v>
      </c>
      <c r="C6" s="58">
        <v>273.83999999999997</v>
      </c>
      <c r="D6" s="58">
        <v>219.72</v>
      </c>
      <c r="E6" s="50" t="s">
        <v>76</v>
      </c>
      <c r="F6" s="58">
        <v>263.63</v>
      </c>
      <c r="G6" s="58">
        <v>240.65</v>
      </c>
      <c r="H6" s="61"/>
      <c r="I6" s="61"/>
      <c r="J6" s="61"/>
      <c r="AB6" s="63"/>
    </row>
    <row r="7" spans="1:28" ht="13.8">
      <c r="A7" s="15" t="s">
        <v>109</v>
      </c>
      <c r="B7" s="58">
        <v>393.53</v>
      </c>
      <c r="C7" s="58">
        <v>275.13</v>
      </c>
      <c r="D7" s="58">
        <v>246.75</v>
      </c>
      <c r="E7" s="50" t="s">
        <v>76</v>
      </c>
      <c r="F7" s="58">
        <v>307.58999999999997</v>
      </c>
      <c r="G7" s="58">
        <v>265.68</v>
      </c>
      <c r="H7" s="61"/>
      <c r="I7" s="61"/>
      <c r="J7" s="61"/>
      <c r="AB7" s="63"/>
    </row>
    <row r="8" spans="1:28" ht="13.8">
      <c r="A8" s="15" t="s">
        <v>110</v>
      </c>
      <c r="B8" s="58">
        <v>468.11</v>
      </c>
      <c r="C8" s="58">
        <v>331.52</v>
      </c>
      <c r="D8" s="58">
        <v>241.57</v>
      </c>
      <c r="E8" s="50" t="s">
        <v>76</v>
      </c>
      <c r="F8" s="58">
        <v>354.22</v>
      </c>
      <c r="G8" s="58">
        <v>329.31</v>
      </c>
      <c r="H8" s="61"/>
      <c r="I8" s="61"/>
      <c r="J8" s="61"/>
      <c r="AB8" s="63"/>
    </row>
    <row r="9" spans="1:28" ht="13.8">
      <c r="A9" s="15" t="s">
        <v>111</v>
      </c>
      <c r="B9" s="58">
        <v>489.94</v>
      </c>
      <c r="C9" s="58">
        <v>377.71</v>
      </c>
      <c r="D9" s="58">
        <v>238.87</v>
      </c>
      <c r="E9" s="50" t="s">
        <v>76</v>
      </c>
      <c r="F9" s="58">
        <v>359.7</v>
      </c>
      <c r="G9" s="58">
        <v>337.23</v>
      </c>
      <c r="H9" s="61"/>
      <c r="I9" s="61"/>
      <c r="J9" s="61"/>
      <c r="AB9" s="63"/>
    </row>
    <row r="10" spans="1:28" ht="13.8">
      <c r="A10" s="15" t="s">
        <v>112</v>
      </c>
      <c r="B10" s="58">
        <v>368.49</v>
      </c>
      <c r="C10" s="58">
        <v>304.27</v>
      </c>
      <c r="D10" s="58">
        <v>209.97</v>
      </c>
      <c r="E10" s="50" t="s">
        <v>76</v>
      </c>
      <c r="F10" s="58">
        <v>301.2</v>
      </c>
      <c r="G10" s="58">
        <v>256.58</v>
      </c>
      <c r="H10" s="61"/>
      <c r="I10" s="61"/>
      <c r="J10" s="61"/>
      <c r="AB10" s="63"/>
    </row>
    <row r="11" spans="1:28" ht="13.8">
      <c r="A11" s="15" t="s">
        <v>113</v>
      </c>
      <c r="B11" s="58">
        <v>324.56</v>
      </c>
      <c r="C11" s="58">
        <v>261.19</v>
      </c>
      <c r="D11" s="58">
        <v>153.16999999999999</v>
      </c>
      <c r="E11" s="50" t="s">
        <v>76</v>
      </c>
      <c r="F11" s="58">
        <v>262.2</v>
      </c>
      <c r="G11" s="58">
        <v>260.23</v>
      </c>
      <c r="H11" s="61"/>
      <c r="I11" s="61"/>
      <c r="J11" s="61"/>
      <c r="AB11" s="63"/>
    </row>
    <row r="12" spans="1:28" ht="13.8">
      <c r="A12" s="15" t="s">
        <v>114</v>
      </c>
      <c r="B12" s="58">
        <v>316.88</v>
      </c>
      <c r="C12" s="58">
        <v>208.61</v>
      </c>
      <c r="D12" s="58">
        <v>145.1</v>
      </c>
      <c r="E12" s="50" t="s">
        <v>76</v>
      </c>
      <c r="F12" s="58">
        <v>267.94</v>
      </c>
      <c r="G12" s="58">
        <v>282.49</v>
      </c>
      <c r="H12" s="61"/>
      <c r="I12" s="61"/>
      <c r="J12" s="61"/>
      <c r="AB12" s="63"/>
    </row>
    <row r="13" spans="1:28" ht="13.8">
      <c r="A13" s="15" t="s">
        <v>115</v>
      </c>
      <c r="B13" s="58">
        <v>345.02</v>
      </c>
      <c r="C13" s="58">
        <v>260.88</v>
      </c>
      <c r="D13" s="58">
        <v>173.53</v>
      </c>
      <c r="E13" s="50" t="s">
        <v>76</v>
      </c>
      <c r="F13" s="58">
        <v>291.14999999999998</v>
      </c>
      <c r="G13" s="58">
        <v>239.15</v>
      </c>
      <c r="H13" s="61"/>
      <c r="I13" s="61"/>
      <c r="J13" s="61"/>
    </row>
    <row r="14" spans="1:28" ht="13.8">
      <c r="A14" s="15" t="s">
        <v>116</v>
      </c>
      <c r="B14" s="58">
        <v>308.27999999999997</v>
      </c>
      <c r="C14" s="58">
        <v>228.64</v>
      </c>
      <c r="D14" s="58">
        <v>164.16</v>
      </c>
      <c r="E14" s="50" t="s">
        <v>76</v>
      </c>
      <c r="F14" s="58">
        <v>272.38</v>
      </c>
      <c r="G14" s="58">
        <v>225.77</v>
      </c>
      <c r="H14" s="61"/>
      <c r="I14" s="61"/>
      <c r="J14" s="61"/>
    </row>
    <row r="15" spans="1:28" ht="13.8">
      <c r="A15" s="15" t="s">
        <v>117</v>
      </c>
      <c r="B15" s="58">
        <v>299.5</v>
      </c>
      <c r="C15" s="58">
        <v>247.04</v>
      </c>
      <c r="D15" s="58">
        <v>187.7</v>
      </c>
      <c r="E15" s="50" t="s">
        <v>76</v>
      </c>
      <c r="F15" s="58">
        <v>273.99</v>
      </c>
      <c r="G15" s="58">
        <v>245.88</v>
      </c>
      <c r="H15" s="61"/>
      <c r="I15" s="61"/>
      <c r="J15" s="61"/>
    </row>
    <row r="16" spans="1:28" ht="13.8">
      <c r="A16" s="15" t="s">
        <v>118</v>
      </c>
      <c r="B16" s="58">
        <v>392.31</v>
      </c>
      <c r="C16" s="58">
        <v>375.51</v>
      </c>
      <c r="D16" s="89">
        <v>246.22</v>
      </c>
      <c r="E16" s="50" t="s">
        <v>76</v>
      </c>
      <c r="F16" s="58">
        <v>351.87</v>
      </c>
      <c r="G16" s="58">
        <v>288.12</v>
      </c>
      <c r="H16" s="61"/>
      <c r="I16" s="61"/>
      <c r="J16" s="61"/>
    </row>
    <row r="17" spans="1:13" ht="13.8">
      <c r="A17" s="15" t="s">
        <v>34</v>
      </c>
      <c r="B17" s="58">
        <v>439.81</v>
      </c>
      <c r="C17" s="58">
        <v>355.33</v>
      </c>
      <c r="D17" s="58">
        <v>279.98</v>
      </c>
      <c r="E17" s="50" t="s">
        <v>76</v>
      </c>
      <c r="F17" s="58">
        <v>439.1</v>
      </c>
      <c r="G17" s="58">
        <v>332.21</v>
      </c>
      <c r="H17" s="61"/>
      <c r="I17" s="61"/>
      <c r="J17" s="61"/>
    </row>
    <row r="18" spans="1:13" ht="13.8">
      <c r="A18" s="15" t="s">
        <v>37</v>
      </c>
      <c r="B18" s="58">
        <v>451.91</v>
      </c>
      <c r="C18" s="58">
        <v>379.13</v>
      </c>
      <c r="D18" s="58">
        <v>244.34</v>
      </c>
      <c r="E18" s="50" t="s">
        <v>76</v>
      </c>
      <c r="F18" s="58">
        <v>431.34</v>
      </c>
      <c r="G18" s="89">
        <v>359.06</v>
      </c>
      <c r="H18" s="61"/>
      <c r="I18" s="61"/>
      <c r="J18" s="61"/>
    </row>
    <row r="19" spans="1:13" ht="16.2">
      <c r="A19" s="15" t="s">
        <v>137</v>
      </c>
      <c r="B19" s="58">
        <v>390</v>
      </c>
      <c r="C19" s="58">
        <v>340</v>
      </c>
      <c r="D19" s="58">
        <v>200</v>
      </c>
      <c r="E19" s="50" t="s">
        <v>76</v>
      </c>
      <c r="F19" s="58">
        <v>380</v>
      </c>
      <c r="G19" s="89">
        <v>328.55</v>
      </c>
      <c r="H19" s="61"/>
      <c r="I19" s="61"/>
      <c r="J19" s="61"/>
    </row>
    <row r="20" spans="1:13" ht="16.2">
      <c r="A20" s="15" t="s">
        <v>157</v>
      </c>
      <c r="B20" s="58">
        <v>330</v>
      </c>
      <c r="C20" s="58">
        <v>300</v>
      </c>
      <c r="D20" s="58">
        <v>180</v>
      </c>
      <c r="E20" s="50" t="s">
        <v>76</v>
      </c>
      <c r="F20" s="58">
        <v>290</v>
      </c>
      <c r="G20" s="89">
        <v>230</v>
      </c>
      <c r="H20" s="61"/>
      <c r="I20" s="61"/>
      <c r="J20" s="61"/>
    </row>
    <row r="21" spans="1:13" ht="13.8">
      <c r="A21" s="15"/>
      <c r="B21" s="58"/>
      <c r="C21" s="58"/>
      <c r="D21" s="58"/>
      <c r="E21" s="50"/>
      <c r="F21" s="58"/>
      <c r="G21" s="58"/>
      <c r="I21" s="61"/>
      <c r="J21" s="65"/>
      <c r="K21" s="65"/>
      <c r="L21" s="65"/>
      <c r="M21" s="65"/>
    </row>
    <row r="22" spans="1:13" ht="13.8">
      <c r="A22" s="30" t="s">
        <v>37</v>
      </c>
      <c r="B22" s="89"/>
      <c r="C22" s="58"/>
      <c r="D22" s="58"/>
      <c r="E22" s="50"/>
      <c r="F22" s="58"/>
      <c r="G22" s="58"/>
      <c r="H22" s="47"/>
      <c r="I22" s="61"/>
    </row>
    <row r="23" spans="1:13" ht="13.8">
      <c r="A23" s="15" t="s">
        <v>39</v>
      </c>
      <c r="B23" s="89">
        <v>468.67499999999995</v>
      </c>
      <c r="C23" s="58">
        <v>451.875</v>
      </c>
      <c r="D23" s="58" t="s">
        <v>76</v>
      </c>
      <c r="E23" s="50" t="s">
        <v>76</v>
      </c>
      <c r="F23" s="58">
        <v>409.17499999999995</v>
      </c>
      <c r="G23" s="58" t="s">
        <v>76</v>
      </c>
      <c r="H23" s="47"/>
      <c r="I23" s="61"/>
    </row>
    <row r="24" spans="1:13" ht="13.8">
      <c r="A24" s="15" t="s">
        <v>40</v>
      </c>
      <c r="B24" s="89">
        <v>436.74999999999994</v>
      </c>
      <c r="C24" s="58">
        <v>405</v>
      </c>
      <c r="D24" s="58" t="s">
        <v>76</v>
      </c>
      <c r="E24" s="50" t="s">
        <v>76</v>
      </c>
      <c r="F24" s="58">
        <v>402.99999999999994</v>
      </c>
      <c r="G24" s="58">
        <v>357.5</v>
      </c>
      <c r="H24" s="47"/>
      <c r="I24" s="61"/>
    </row>
    <row r="25" spans="1:13" ht="13.8">
      <c r="A25" s="15" t="s">
        <v>42</v>
      </c>
      <c r="B25" s="89">
        <v>462.85</v>
      </c>
      <c r="C25" s="58">
        <v>390.625</v>
      </c>
      <c r="D25" s="58">
        <v>200</v>
      </c>
      <c r="E25" s="50" t="s">
        <v>76</v>
      </c>
      <c r="F25" s="58">
        <v>437.09999999999997</v>
      </c>
      <c r="G25" s="58">
        <v>368.5</v>
      </c>
      <c r="H25" s="47"/>
      <c r="I25" s="61"/>
    </row>
    <row r="26" spans="1:13" ht="13.8">
      <c r="A26" s="15" t="s">
        <v>43</v>
      </c>
      <c r="B26" s="89">
        <v>482.40000000000003</v>
      </c>
      <c r="C26" s="58">
        <v>386.25</v>
      </c>
      <c r="D26" s="58">
        <v>355</v>
      </c>
      <c r="E26" s="50" t="s">
        <v>76</v>
      </c>
      <c r="F26" s="58">
        <v>474.02500000000003</v>
      </c>
      <c r="G26" s="58">
        <v>397.5</v>
      </c>
      <c r="H26" s="47"/>
      <c r="I26" s="61"/>
    </row>
    <row r="27" spans="1:13" ht="13.8">
      <c r="A27" s="15" t="s">
        <v>44</v>
      </c>
      <c r="B27" s="89">
        <v>500.52499999999998</v>
      </c>
      <c r="C27" s="58">
        <v>392.5</v>
      </c>
      <c r="D27" s="58">
        <v>336.25</v>
      </c>
      <c r="E27" s="50" t="s">
        <v>76</v>
      </c>
      <c r="F27" s="58">
        <v>501.02499999999998</v>
      </c>
      <c r="G27" s="58">
        <v>412.5</v>
      </c>
      <c r="H27" s="47"/>
      <c r="I27" s="61"/>
    </row>
    <row r="28" spans="1:13" ht="13.8">
      <c r="A28" s="15" t="s">
        <v>46</v>
      </c>
      <c r="B28" s="89">
        <v>484.4</v>
      </c>
      <c r="C28" s="58">
        <v>386.25</v>
      </c>
      <c r="D28" s="58">
        <v>308</v>
      </c>
      <c r="E28" s="50" t="s">
        <v>76</v>
      </c>
      <c r="F28" s="58">
        <v>466.6</v>
      </c>
      <c r="G28" s="58">
        <v>380.4</v>
      </c>
      <c r="H28" s="47"/>
      <c r="I28" s="61"/>
    </row>
    <row r="29" spans="1:13" ht="13.8">
      <c r="A29" s="15" t="s">
        <v>47</v>
      </c>
      <c r="B29" s="89">
        <v>457.25</v>
      </c>
      <c r="C29" s="58">
        <v>364.375</v>
      </c>
      <c r="D29" s="58">
        <v>252.5</v>
      </c>
      <c r="E29" s="50" t="s">
        <v>76</v>
      </c>
      <c r="F29" s="58">
        <v>434.75</v>
      </c>
      <c r="G29" s="58">
        <v>352.5</v>
      </c>
      <c r="H29" s="47"/>
      <c r="I29" s="61"/>
    </row>
    <row r="30" spans="1:13" ht="13.8">
      <c r="A30" s="15" t="s">
        <v>48</v>
      </c>
      <c r="B30" s="89">
        <v>423.57499999999999</v>
      </c>
      <c r="C30" s="58">
        <v>370.625</v>
      </c>
      <c r="D30" s="58">
        <v>237.5</v>
      </c>
      <c r="E30" s="50" t="s">
        <v>76</v>
      </c>
      <c r="F30" s="58">
        <v>407.02500000000003</v>
      </c>
      <c r="G30" s="58">
        <v>352.5</v>
      </c>
      <c r="H30" s="47"/>
      <c r="I30" s="61"/>
    </row>
    <row r="31" spans="1:13" ht="13.8">
      <c r="A31" s="15" t="s">
        <v>50</v>
      </c>
      <c r="B31" s="89">
        <v>413.46000000000004</v>
      </c>
      <c r="C31" s="58">
        <v>362.5</v>
      </c>
      <c r="D31" s="58">
        <v>208.00200000000001</v>
      </c>
      <c r="E31" s="50" t="s">
        <v>76</v>
      </c>
      <c r="F31" s="58">
        <v>405.06000000000006</v>
      </c>
      <c r="G31" s="58">
        <v>354</v>
      </c>
      <c r="H31" s="47"/>
      <c r="I31" s="61"/>
    </row>
    <row r="32" spans="1:13" ht="13.8">
      <c r="A32" s="15" t="s">
        <v>51</v>
      </c>
      <c r="B32" s="89">
        <v>443.15</v>
      </c>
      <c r="C32" s="58">
        <v>347.5</v>
      </c>
      <c r="D32" s="58">
        <v>159.16749999999999</v>
      </c>
      <c r="E32" s="50" t="s">
        <v>76</v>
      </c>
      <c r="F32" s="58">
        <v>432.1</v>
      </c>
      <c r="G32" s="58">
        <v>335</v>
      </c>
      <c r="H32" s="47"/>
      <c r="I32" s="61"/>
    </row>
    <row r="33" spans="1:10" ht="13.8">
      <c r="A33" s="15" t="s">
        <v>52</v>
      </c>
      <c r="B33" s="89">
        <v>438.8</v>
      </c>
      <c r="C33" s="58">
        <v>348.33</v>
      </c>
      <c r="D33" s="58">
        <v>185</v>
      </c>
      <c r="E33" s="50" t="s">
        <v>76</v>
      </c>
      <c r="F33" s="58">
        <v>412.9</v>
      </c>
      <c r="G33" s="58">
        <v>321.25</v>
      </c>
      <c r="H33" s="47"/>
      <c r="I33" s="61"/>
    </row>
    <row r="34" spans="1:10" ht="13.8">
      <c r="A34" s="15" t="s">
        <v>38</v>
      </c>
      <c r="B34" s="89">
        <v>411.07</v>
      </c>
      <c r="C34" s="58">
        <v>343.75</v>
      </c>
      <c r="D34" s="58">
        <v>202</v>
      </c>
      <c r="E34" s="50" t="s">
        <v>76</v>
      </c>
      <c r="F34" s="58">
        <v>393.26</v>
      </c>
      <c r="G34" s="58">
        <v>318</v>
      </c>
      <c r="H34" s="47"/>
      <c r="I34" s="61"/>
    </row>
    <row r="35" spans="1:10" ht="13.8">
      <c r="A35" s="15"/>
      <c r="B35" s="89"/>
      <c r="C35" s="58"/>
      <c r="D35" s="58"/>
      <c r="E35" s="50"/>
      <c r="F35" s="58"/>
      <c r="G35" s="58"/>
      <c r="H35" s="47"/>
      <c r="I35" s="61"/>
    </row>
    <row r="36" spans="1:10" ht="13.8">
      <c r="A36" s="30" t="s">
        <v>54</v>
      </c>
      <c r="B36" s="89"/>
      <c r="C36" s="58"/>
      <c r="D36" s="58"/>
      <c r="E36" s="50"/>
      <c r="F36" s="58"/>
      <c r="G36" s="58"/>
      <c r="H36" s="47"/>
      <c r="I36" s="61"/>
    </row>
    <row r="37" spans="1:10" ht="13.8">
      <c r="A37" s="15" t="s">
        <v>39</v>
      </c>
      <c r="B37" s="89">
        <v>416.16</v>
      </c>
      <c r="C37" s="58">
        <v>348.75</v>
      </c>
      <c r="D37" s="58">
        <v>229.16500000000002</v>
      </c>
      <c r="E37" s="50" t="s">
        <v>76</v>
      </c>
      <c r="F37" s="58">
        <v>407.1</v>
      </c>
      <c r="G37" s="58">
        <v>325</v>
      </c>
      <c r="H37" s="47"/>
      <c r="I37" s="61"/>
    </row>
    <row r="38" spans="1:10" ht="13.8">
      <c r="A38" s="15" t="s">
        <v>40</v>
      </c>
      <c r="B38" s="89">
        <v>464.27</v>
      </c>
      <c r="C38" s="58">
        <v>350</v>
      </c>
      <c r="D38" s="58">
        <v>266.67</v>
      </c>
      <c r="E38" s="50" t="s">
        <v>76</v>
      </c>
      <c r="F38" s="58">
        <v>441.77</v>
      </c>
      <c r="G38" s="89">
        <v>348.33</v>
      </c>
      <c r="H38" s="47"/>
      <c r="I38" s="61"/>
    </row>
    <row r="39" spans="1:10" ht="13.8">
      <c r="A39" s="15" t="s">
        <v>42</v>
      </c>
      <c r="B39" s="89">
        <v>440.6</v>
      </c>
      <c r="C39" s="58">
        <v>358.75</v>
      </c>
      <c r="D39" s="58">
        <v>270</v>
      </c>
      <c r="E39" s="50" t="s">
        <v>76</v>
      </c>
      <c r="F39" s="58">
        <v>395.04999999999995</v>
      </c>
      <c r="G39" s="89">
        <v>365</v>
      </c>
      <c r="H39" s="47"/>
      <c r="I39" s="61"/>
    </row>
    <row r="40" spans="1:10" ht="13.8">
      <c r="A40" s="15" t="s">
        <v>43</v>
      </c>
      <c r="B40" s="89">
        <v>378.4</v>
      </c>
      <c r="C40" s="58">
        <v>352.5</v>
      </c>
      <c r="D40" s="58">
        <v>270</v>
      </c>
      <c r="E40" s="50" t="s">
        <v>76</v>
      </c>
      <c r="F40" s="58">
        <v>349.3</v>
      </c>
      <c r="G40" s="89">
        <v>365</v>
      </c>
      <c r="H40" s="47"/>
      <c r="I40" s="61"/>
    </row>
    <row r="41" spans="1:10" ht="13.8">
      <c r="A41" s="15" t="s">
        <v>44</v>
      </c>
      <c r="B41" s="89">
        <v>363.625</v>
      </c>
      <c r="C41" s="58">
        <v>355</v>
      </c>
      <c r="D41" s="58">
        <v>210</v>
      </c>
      <c r="E41" s="50" t="s">
        <v>76</v>
      </c>
      <c r="F41" s="58">
        <v>357.75</v>
      </c>
      <c r="G41" s="89" t="s">
        <v>76</v>
      </c>
      <c r="H41" s="47"/>
      <c r="I41" s="61"/>
    </row>
    <row r="42" spans="1:10" ht="13.8">
      <c r="A42" s="15" t="s">
        <v>46</v>
      </c>
      <c r="B42" s="89">
        <v>361.75</v>
      </c>
      <c r="C42" s="58">
        <v>343.33</v>
      </c>
      <c r="D42" s="58">
        <v>140</v>
      </c>
      <c r="E42" s="50" t="s">
        <v>76</v>
      </c>
      <c r="F42" s="58">
        <v>348.76</v>
      </c>
      <c r="G42" s="89">
        <v>331</v>
      </c>
      <c r="H42" s="47"/>
      <c r="I42" s="61"/>
    </row>
    <row r="43" spans="1:10" ht="13.8">
      <c r="A43" s="15" t="s">
        <v>47</v>
      </c>
      <c r="B43" s="89">
        <v>357.67500000000001</v>
      </c>
      <c r="C43" s="58">
        <v>333.75</v>
      </c>
      <c r="D43" s="58">
        <v>142.5</v>
      </c>
      <c r="E43" s="50" t="s">
        <v>76</v>
      </c>
      <c r="F43" s="58">
        <v>357.17500000000001</v>
      </c>
      <c r="G43" s="89">
        <v>292.5</v>
      </c>
      <c r="H43" s="47"/>
      <c r="I43" s="61"/>
    </row>
    <row r="44" spans="1:10" ht="13.8">
      <c r="A44" s="15" t="s">
        <v>48</v>
      </c>
      <c r="B44" s="89">
        <v>388.65</v>
      </c>
      <c r="C44" s="58">
        <v>330</v>
      </c>
      <c r="D44" s="58">
        <v>170</v>
      </c>
      <c r="E44" s="50" t="s">
        <v>76</v>
      </c>
      <c r="F44" s="58">
        <v>411.82</v>
      </c>
      <c r="G44" s="89">
        <v>259</v>
      </c>
      <c r="H44" s="47"/>
      <c r="I44" s="61"/>
    </row>
    <row r="45" spans="1:10" ht="13.8">
      <c r="A45" s="14" t="s">
        <v>50</v>
      </c>
      <c r="B45" s="89">
        <v>384.1</v>
      </c>
      <c r="C45" s="58" t="s">
        <v>76</v>
      </c>
      <c r="D45" s="58">
        <v>166.25</v>
      </c>
      <c r="E45" s="50" t="s">
        <v>76</v>
      </c>
      <c r="F45" s="58">
        <v>416.6</v>
      </c>
      <c r="G45" s="89">
        <v>253.54249999999999</v>
      </c>
      <c r="H45" s="47"/>
      <c r="I45" s="61"/>
    </row>
    <row r="46" spans="1:10" ht="16.2">
      <c r="A46" s="79" t="s">
        <v>150</v>
      </c>
      <c r="B46" s="114"/>
      <c r="C46" s="114"/>
      <c r="D46" s="114"/>
      <c r="E46" s="114"/>
      <c r="F46" s="114"/>
      <c r="G46" s="114"/>
      <c r="I46" s="64"/>
    </row>
    <row r="47" spans="1:10" ht="16.2">
      <c r="A47" s="40" t="s">
        <v>151</v>
      </c>
      <c r="B47" s="66"/>
      <c r="C47" s="66"/>
      <c r="D47" s="66"/>
      <c r="E47" s="66"/>
      <c r="F47" s="66"/>
      <c r="G47" s="66"/>
      <c r="I47" s="64"/>
      <c r="J47" s="64"/>
    </row>
    <row r="48" spans="1:10" ht="14.4">
      <c r="A48" s="15" t="s">
        <v>152</v>
      </c>
      <c r="B48" s="15"/>
      <c r="C48" s="15"/>
      <c r="D48" s="15"/>
      <c r="E48" s="15"/>
      <c r="F48" s="66"/>
      <c r="G48" s="66"/>
      <c r="I48" s="64"/>
      <c r="J48" s="64"/>
    </row>
    <row r="49" spans="1:10" ht="13.8">
      <c r="A49" s="20" t="s">
        <v>57</v>
      </c>
      <c r="B49" s="36">
        <f>Contents!A16</f>
        <v>45489</v>
      </c>
      <c r="C49" s="15"/>
      <c r="D49" s="15"/>
      <c r="E49" s="15"/>
      <c r="F49" s="66"/>
      <c r="G49" s="66"/>
      <c r="I49" s="67"/>
      <c r="J49" s="67"/>
    </row>
    <row r="50" spans="1:10" ht="13.8">
      <c r="F50" s="66"/>
      <c r="G50" s="66"/>
      <c r="I50" s="67"/>
      <c r="J50" s="67"/>
    </row>
    <row r="51" spans="1:10" ht="13.8">
      <c r="B51" s="61"/>
      <c r="F51" s="66"/>
      <c r="G51" s="66"/>
      <c r="I51" s="64"/>
      <c r="J51" s="64"/>
    </row>
    <row r="52" spans="1:10">
      <c r="B52" s="93"/>
      <c r="I52" s="64"/>
      <c r="J52" s="64"/>
    </row>
    <row r="53" spans="1:10">
      <c r="I53" s="64"/>
      <c r="J53" s="64"/>
    </row>
    <row r="54" spans="1:10">
      <c r="I54" s="64"/>
      <c r="J54" s="64"/>
    </row>
    <row r="55" spans="1:10">
      <c r="I55" s="64"/>
      <c r="J55" s="64"/>
    </row>
    <row r="56" spans="1:10">
      <c r="I56" s="64"/>
      <c r="J56" s="64"/>
    </row>
    <row r="58" spans="1:10">
      <c r="I58" s="68"/>
      <c r="J58" s="68"/>
    </row>
    <row r="59" spans="1:10">
      <c r="I59" s="68"/>
      <c r="J59" s="68"/>
    </row>
  </sheetData>
  <phoneticPr fontId="49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0710-5BEA-44D4-9142-E71501B9CEEF}">
  <dimension ref="A1:F91"/>
  <sheetViews>
    <sheetView zoomScaleNormal="100" workbookViewId="0"/>
  </sheetViews>
  <sheetFormatPr defaultColWidth="9.109375" defaultRowHeight="13.2"/>
  <cols>
    <col min="1" max="1" width="14.6640625" style="121" bestFit="1" customWidth="1"/>
    <col min="2" max="2" width="12.33203125" style="121" customWidth="1"/>
    <col min="3" max="3" width="10.33203125" style="121" customWidth="1"/>
    <col min="4" max="16384" width="9.109375" style="121"/>
  </cols>
  <sheetData>
    <row r="1" spans="1:6">
      <c r="A1" s="132" t="s">
        <v>153</v>
      </c>
      <c r="B1" s="132" t="s">
        <v>54</v>
      </c>
      <c r="C1" s="132" t="s">
        <v>165</v>
      </c>
    </row>
    <row r="2" spans="1:6">
      <c r="A2" s="133" t="s">
        <v>159</v>
      </c>
      <c r="B2" s="140">
        <v>6.19</v>
      </c>
      <c r="C2" s="140">
        <v>6.47</v>
      </c>
      <c r="D2" s="268"/>
      <c r="E2" s="143"/>
      <c r="F2" s="145"/>
    </row>
    <row r="3" spans="1:6">
      <c r="A3" s="122" t="s">
        <v>160</v>
      </c>
      <c r="B3" s="138">
        <v>24.75</v>
      </c>
      <c r="C3" s="138">
        <v>25.7</v>
      </c>
      <c r="D3" s="268"/>
      <c r="E3" s="255"/>
      <c r="F3" s="91"/>
    </row>
    <row r="4" spans="1:6">
      <c r="A4" s="122" t="s">
        <v>161</v>
      </c>
      <c r="B4" s="141">
        <v>22.9</v>
      </c>
      <c r="C4" s="141">
        <v>23.1</v>
      </c>
      <c r="D4" s="268"/>
      <c r="E4" s="255"/>
      <c r="F4" s="91"/>
    </row>
    <row r="5" spans="1:6">
      <c r="A5" s="122" t="s">
        <v>162</v>
      </c>
      <c r="B5" s="138">
        <v>9.68</v>
      </c>
      <c r="C5" s="138">
        <v>9.85</v>
      </c>
      <c r="D5" s="268"/>
      <c r="E5" s="146"/>
      <c r="F5" s="91"/>
    </row>
    <row r="6" spans="1:6">
      <c r="A6" s="122" t="s">
        <v>163</v>
      </c>
      <c r="B6" s="138">
        <v>11.3</v>
      </c>
      <c r="C6" s="138">
        <v>11.9</v>
      </c>
      <c r="D6" s="268"/>
      <c r="E6" s="254"/>
      <c r="F6" s="91"/>
    </row>
    <row r="7" spans="1:6">
      <c r="A7" s="122" t="s">
        <v>164</v>
      </c>
      <c r="B7" s="138">
        <v>8.7799999999999994</v>
      </c>
      <c r="C7" s="138">
        <v>9.08</v>
      </c>
      <c r="D7" s="268"/>
      <c r="E7" s="146"/>
      <c r="F7" s="91"/>
    </row>
    <row r="8" spans="1:6">
      <c r="A8" s="122" t="s">
        <v>166</v>
      </c>
      <c r="B8" s="138">
        <v>83.6</v>
      </c>
      <c r="C8" s="138">
        <v>86.1</v>
      </c>
      <c r="D8" s="91"/>
      <c r="E8" s="146"/>
      <c r="F8" s="91"/>
    </row>
    <row r="9" spans="1:6">
      <c r="B9" s="134"/>
      <c r="C9" s="134"/>
    </row>
    <row r="10" spans="1:6">
      <c r="A10" s="122"/>
      <c r="B10" s="139"/>
      <c r="C10" s="139"/>
    </row>
    <row r="11" spans="1:6">
      <c r="A11" s="122"/>
      <c r="B11" s="139"/>
      <c r="C11" s="139"/>
      <c r="E11" s="147"/>
    </row>
    <row r="12" spans="1:6">
      <c r="A12" s="135"/>
      <c r="B12" s="139"/>
      <c r="C12" s="139"/>
    </row>
    <row r="13" spans="1:6">
      <c r="A13" s="136"/>
      <c r="B13" s="139"/>
      <c r="C13" s="139"/>
    </row>
    <row r="14" spans="1:6">
      <c r="A14" s="136"/>
      <c r="B14" s="139"/>
      <c r="C14" s="139"/>
    </row>
    <row r="15" spans="1:6">
      <c r="A15" s="136"/>
      <c r="B15" s="139"/>
      <c r="C15" s="139"/>
    </row>
    <row r="16" spans="1:6">
      <c r="A16" s="122"/>
      <c r="B16" s="139"/>
      <c r="C16" s="139"/>
    </row>
    <row r="17" spans="1:3">
      <c r="A17" s="122"/>
      <c r="B17" s="137"/>
      <c r="C17" s="137"/>
    </row>
    <row r="18" spans="1:3">
      <c r="A18" s="122"/>
      <c r="B18" s="122"/>
      <c r="C18" s="122"/>
    </row>
    <row r="19" spans="1:3">
      <c r="A19" s="122"/>
      <c r="B19" s="122"/>
      <c r="C19" s="122"/>
    </row>
    <row r="20" spans="1:3">
      <c r="A20" s="122"/>
      <c r="B20" s="122"/>
      <c r="C20" s="122"/>
    </row>
    <row r="21" spans="1:3">
      <c r="A21" s="122"/>
      <c r="B21" s="122"/>
      <c r="C21" s="122"/>
    </row>
    <row r="22" spans="1:3">
      <c r="A22" s="122"/>
      <c r="B22" s="122"/>
      <c r="C22" s="122"/>
    </row>
    <row r="23" spans="1:3">
      <c r="A23" s="122"/>
      <c r="B23" s="122"/>
      <c r="C23" s="122"/>
    </row>
    <row r="24" spans="1:3">
      <c r="A24" s="122"/>
      <c r="B24" s="122"/>
      <c r="C24" s="122"/>
    </row>
    <row r="25" spans="1:3">
      <c r="A25" s="122"/>
      <c r="B25" s="122"/>
      <c r="C25" s="122"/>
    </row>
    <row r="26" spans="1:3">
      <c r="A26" s="122"/>
      <c r="B26" s="122"/>
      <c r="C26" s="122"/>
    </row>
    <row r="27" spans="1:3">
      <c r="A27" s="122"/>
      <c r="B27" s="122"/>
      <c r="C27" s="122"/>
    </row>
    <row r="28" spans="1:3">
      <c r="A28" s="122"/>
      <c r="B28" s="122"/>
      <c r="C28" s="122"/>
    </row>
    <row r="29" spans="1:3">
      <c r="A29" s="122"/>
      <c r="B29" s="122"/>
      <c r="C29" s="122"/>
    </row>
    <row r="30" spans="1:3">
      <c r="A30" s="122"/>
      <c r="B30" s="122"/>
      <c r="C30" s="122"/>
    </row>
    <row r="31" spans="1:3">
      <c r="A31" s="122"/>
      <c r="B31" s="122"/>
      <c r="C31" s="122"/>
    </row>
    <row r="32" spans="1:3">
      <c r="A32" s="122"/>
      <c r="B32" s="122"/>
      <c r="C32" s="122"/>
    </row>
    <row r="33" spans="1:3">
      <c r="A33" s="122"/>
      <c r="B33" s="122"/>
      <c r="C33" s="122"/>
    </row>
    <row r="34" spans="1:3">
      <c r="A34" s="122"/>
      <c r="B34" s="122"/>
      <c r="C34" s="122"/>
    </row>
    <row r="35" spans="1:3">
      <c r="A35" s="122"/>
      <c r="B35" s="122"/>
      <c r="C35" s="122"/>
    </row>
    <row r="36" spans="1:3">
      <c r="A36" s="122"/>
      <c r="B36" s="122"/>
      <c r="C36" s="122"/>
    </row>
    <row r="37" spans="1:3">
      <c r="A37" s="122"/>
      <c r="B37" s="122"/>
      <c r="C37" s="122"/>
    </row>
    <row r="38" spans="1:3">
      <c r="A38" s="122"/>
      <c r="B38" s="122"/>
      <c r="C38" s="122"/>
    </row>
    <row r="39" spans="1:3">
      <c r="A39" s="122"/>
      <c r="B39" s="122"/>
      <c r="C39" s="122"/>
    </row>
    <row r="40" spans="1:3">
      <c r="A40" s="122"/>
      <c r="B40" s="122"/>
      <c r="C40" s="122"/>
    </row>
    <row r="41" spans="1:3">
      <c r="A41" s="122"/>
      <c r="B41" s="122"/>
      <c r="C41" s="122"/>
    </row>
    <row r="42" spans="1:3">
      <c r="A42" s="122"/>
      <c r="B42" s="122"/>
      <c r="C42" s="122"/>
    </row>
    <row r="43" spans="1:3">
      <c r="A43" s="122"/>
      <c r="B43" s="122"/>
      <c r="C43" s="122"/>
    </row>
    <row r="44" spans="1:3">
      <c r="A44" s="122"/>
      <c r="B44" s="122"/>
      <c r="C44" s="122"/>
    </row>
    <row r="45" spans="1:3">
      <c r="A45" s="122"/>
      <c r="B45" s="122"/>
      <c r="C45" s="122"/>
    </row>
    <row r="46" spans="1:3">
      <c r="A46" s="122"/>
      <c r="B46" s="122"/>
      <c r="C46" s="122"/>
    </row>
    <row r="47" spans="1:3">
      <c r="A47" s="122"/>
      <c r="B47" s="122"/>
      <c r="C47" s="122"/>
    </row>
    <row r="48" spans="1:3">
      <c r="A48" s="122"/>
      <c r="B48" s="122"/>
      <c r="C48" s="122"/>
    </row>
    <row r="49" spans="1:3">
      <c r="A49" s="122"/>
      <c r="B49" s="122"/>
      <c r="C49" s="122"/>
    </row>
    <row r="50" spans="1:3">
      <c r="A50" s="122"/>
      <c r="B50" s="122"/>
      <c r="C50" s="122"/>
    </row>
    <row r="51" spans="1:3">
      <c r="A51" s="122"/>
      <c r="B51" s="122"/>
      <c r="C51" s="122"/>
    </row>
    <row r="52" spans="1:3">
      <c r="A52" s="122"/>
      <c r="B52" s="122"/>
      <c r="C52" s="122"/>
    </row>
    <row r="53" spans="1:3">
      <c r="A53" s="122"/>
      <c r="B53" s="122"/>
      <c r="C53" s="122"/>
    </row>
    <row r="54" spans="1:3">
      <c r="A54" s="122"/>
      <c r="B54" s="122"/>
      <c r="C54" s="122"/>
    </row>
    <row r="55" spans="1:3">
      <c r="A55" s="122"/>
      <c r="B55" s="122"/>
      <c r="C55" s="122"/>
    </row>
    <row r="56" spans="1:3">
      <c r="A56" s="122"/>
      <c r="B56" s="122"/>
      <c r="C56" s="122"/>
    </row>
    <row r="57" spans="1:3">
      <c r="A57" s="122"/>
      <c r="B57" s="122"/>
      <c r="C57" s="122"/>
    </row>
    <row r="58" spans="1:3">
      <c r="A58" s="122"/>
      <c r="B58" s="122"/>
      <c r="C58" s="122"/>
    </row>
    <row r="59" spans="1:3">
      <c r="A59" s="122"/>
      <c r="B59" s="122"/>
      <c r="C59" s="122"/>
    </row>
    <row r="60" spans="1:3">
      <c r="A60" s="122"/>
      <c r="B60" s="122"/>
      <c r="C60" s="122"/>
    </row>
    <row r="61" spans="1:3">
      <c r="A61" s="122"/>
      <c r="B61" s="122"/>
      <c r="C61" s="122"/>
    </row>
    <row r="62" spans="1:3">
      <c r="A62" s="122"/>
      <c r="B62" s="122"/>
      <c r="C62" s="122"/>
    </row>
    <row r="63" spans="1:3">
      <c r="A63" s="122"/>
      <c r="B63" s="122"/>
      <c r="C63" s="122"/>
    </row>
    <row r="64" spans="1:3">
      <c r="A64" s="122"/>
      <c r="B64" s="122"/>
      <c r="C64" s="122"/>
    </row>
    <row r="65" spans="1:3">
      <c r="A65" s="122"/>
      <c r="B65" s="122"/>
      <c r="C65" s="122"/>
    </row>
    <row r="66" spans="1:3">
      <c r="A66" s="122"/>
      <c r="B66" s="122"/>
      <c r="C66" s="122"/>
    </row>
    <row r="67" spans="1:3">
      <c r="A67" s="122"/>
      <c r="B67" s="122"/>
      <c r="C67" s="122"/>
    </row>
    <row r="68" spans="1:3">
      <c r="A68" s="122"/>
      <c r="B68" s="122"/>
      <c r="C68" s="122"/>
    </row>
    <row r="69" spans="1:3">
      <c r="A69" s="122"/>
      <c r="B69" s="122"/>
      <c r="C69" s="122"/>
    </row>
    <row r="70" spans="1:3">
      <c r="A70" s="122"/>
      <c r="B70" s="122"/>
      <c r="C70" s="122"/>
    </row>
    <row r="71" spans="1:3">
      <c r="A71" s="122"/>
      <c r="B71" s="122"/>
      <c r="C71" s="122"/>
    </row>
    <row r="72" spans="1:3">
      <c r="A72" s="122"/>
      <c r="B72" s="122"/>
      <c r="C72" s="122"/>
    </row>
    <row r="73" spans="1:3">
      <c r="A73" s="122"/>
      <c r="B73" s="122"/>
      <c r="C73" s="122"/>
    </row>
    <row r="74" spans="1:3">
      <c r="A74" s="122"/>
      <c r="B74" s="122"/>
      <c r="C74" s="122"/>
    </row>
    <row r="75" spans="1:3">
      <c r="A75" s="122"/>
      <c r="B75" s="122"/>
      <c r="C75" s="122"/>
    </row>
    <row r="76" spans="1:3">
      <c r="A76" s="122"/>
      <c r="B76" s="122"/>
      <c r="C76" s="122"/>
    </row>
    <row r="77" spans="1:3">
      <c r="A77" s="122"/>
      <c r="B77" s="122"/>
      <c r="C77" s="122"/>
    </row>
    <row r="78" spans="1:3">
      <c r="A78" s="122"/>
      <c r="B78" s="122"/>
      <c r="C78" s="122"/>
    </row>
    <row r="79" spans="1:3">
      <c r="A79" s="122"/>
      <c r="B79" s="122"/>
      <c r="C79" s="122"/>
    </row>
    <row r="80" spans="1:3">
      <c r="A80" s="122"/>
      <c r="B80" s="122"/>
      <c r="C80" s="122"/>
    </row>
    <row r="81" spans="1:3">
      <c r="A81" s="122"/>
      <c r="B81" s="122"/>
      <c r="C81" s="122"/>
    </row>
    <row r="82" spans="1:3">
      <c r="A82" s="122"/>
      <c r="B82" s="122"/>
      <c r="C82" s="122"/>
    </row>
    <row r="83" spans="1:3">
      <c r="A83" s="122"/>
      <c r="B83" s="122"/>
      <c r="C83" s="122"/>
    </row>
    <row r="84" spans="1:3">
      <c r="A84" s="122"/>
      <c r="B84" s="122"/>
      <c r="C84" s="122"/>
    </row>
    <row r="85" spans="1:3">
      <c r="A85" s="122"/>
      <c r="B85" s="122"/>
      <c r="C85" s="122"/>
    </row>
    <row r="86" spans="1:3">
      <c r="A86" s="122"/>
      <c r="B86" s="122"/>
      <c r="C86" s="122"/>
    </row>
    <row r="87" spans="1:3">
      <c r="A87" s="122"/>
      <c r="B87" s="122"/>
      <c r="C87" s="122"/>
    </row>
    <row r="88" spans="1:3">
      <c r="A88" s="122"/>
      <c r="B88" s="122"/>
      <c r="C88" s="122"/>
    </row>
    <row r="89" spans="1:3">
      <c r="A89" s="122"/>
      <c r="B89" s="122"/>
      <c r="C89" s="122"/>
    </row>
    <row r="90" spans="1:3">
      <c r="A90" s="122"/>
      <c r="B90" s="122"/>
      <c r="C90" s="122"/>
    </row>
    <row r="91" spans="1:3">
      <c r="A91" s="122"/>
      <c r="B91" s="122"/>
      <c r="C91" s="12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E44E-95AD-46D7-924E-B739EEC41D1C}">
  <dimension ref="A1:O21"/>
  <sheetViews>
    <sheetView workbookViewId="0"/>
  </sheetViews>
  <sheetFormatPr defaultRowHeight="13.2"/>
  <cols>
    <col min="1" max="1" width="11.33203125" bestFit="1" customWidth="1"/>
    <col min="2" max="2" width="11" bestFit="1" customWidth="1"/>
    <col min="3" max="3" width="11.5546875" bestFit="1" customWidth="1"/>
    <col min="5" max="5" width="11.88671875" customWidth="1"/>
  </cols>
  <sheetData>
    <row r="1" spans="1:15" ht="26.4">
      <c r="A1" s="128" t="s">
        <v>153</v>
      </c>
      <c r="B1" s="127" t="s">
        <v>26</v>
      </c>
      <c r="C1" s="127" t="s">
        <v>27</v>
      </c>
      <c r="D1" s="128" t="s">
        <v>173</v>
      </c>
      <c r="E1" s="264" t="s">
        <v>245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15">
      <c r="A2" s="126" t="s">
        <v>115</v>
      </c>
      <c r="B2" s="153">
        <v>1.6544919999999999</v>
      </c>
      <c r="C2" s="151">
        <v>4.0830528045409915</v>
      </c>
      <c r="D2" s="154">
        <v>1.3843699999999999</v>
      </c>
      <c r="E2" s="154">
        <v>4.2225915799250879</v>
      </c>
    </row>
    <row r="3" spans="1:15" ht="15">
      <c r="A3" s="126" t="s">
        <v>116</v>
      </c>
      <c r="B3" s="153">
        <v>1.5314369999999999</v>
      </c>
      <c r="C3" s="151">
        <v>3.9114110286118433</v>
      </c>
      <c r="D3" s="154">
        <v>1.1000000000000001</v>
      </c>
      <c r="E3" s="154">
        <v>4.1805102391286244</v>
      </c>
    </row>
    <row r="4" spans="1:15" ht="15">
      <c r="A4" s="126" t="s">
        <v>117</v>
      </c>
      <c r="B4" s="153">
        <v>1.810092</v>
      </c>
      <c r="C4" s="151">
        <v>4.0290047173135957</v>
      </c>
      <c r="D4" s="154">
        <v>1.3175999999999999</v>
      </c>
      <c r="E4" s="154">
        <v>4.313166043006035</v>
      </c>
    </row>
    <row r="5" spans="1:15" ht="15">
      <c r="A5" s="126" t="s">
        <v>118</v>
      </c>
      <c r="B5" s="153">
        <v>1.787782</v>
      </c>
      <c r="C5" s="151">
        <v>4.1171210583501132</v>
      </c>
      <c r="D5" s="154">
        <v>1.1499999999999999</v>
      </c>
      <c r="E5" s="154">
        <v>4.4362581310463485</v>
      </c>
    </row>
    <row r="6" spans="1:15" ht="15">
      <c r="A6" s="126" t="s">
        <v>34</v>
      </c>
      <c r="B6" s="153">
        <v>1.475247</v>
      </c>
      <c r="C6" s="151">
        <v>4.4185811554089138</v>
      </c>
      <c r="D6" s="154">
        <v>1.335</v>
      </c>
      <c r="E6" s="154">
        <v>4.3102524772471345</v>
      </c>
    </row>
    <row r="7" spans="1:15" ht="15">
      <c r="A7" s="126" t="s">
        <v>37</v>
      </c>
      <c r="B7" s="153">
        <v>1.7882819999999999</v>
      </c>
      <c r="C7" s="151">
        <v>6.2708722318558747</v>
      </c>
      <c r="D7" s="154">
        <v>2.9125220000000001</v>
      </c>
      <c r="E7" s="154">
        <v>5.0101226325352339</v>
      </c>
    </row>
    <row r="8" spans="1:15" ht="15">
      <c r="A8" s="126" t="s">
        <v>54</v>
      </c>
      <c r="B8" s="153">
        <v>1.8940999999999999</v>
      </c>
      <c r="C8" s="151">
        <v>7.4185551162999994</v>
      </c>
      <c r="D8" s="154">
        <v>4</v>
      </c>
      <c r="E8" s="154">
        <v>5.1550000000000002</v>
      </c>
    </row>
    <row r="9" spans="1:15" ht="15">
      <c r="A9" s="152" t="s">
        <v>165</v>
      </c>
      <c r="B9" s="153">
        <v>1.96</v>
      </c>
      <c r="C9" s="151">
        <v>8.0689187891999996</v>
      </c>
      <c r="D9" s="154">
        <v>4.5999999999999996</v>
      </c>
      <c r="E9" s="154">
        <v>5.25</v>
      </c>
    </row>
    <row r="10" spans="1:15" ht="15">
      <c r="A10" s="126"/>
      <c r="B10" s="125"/>
      <c r="C10" s="129"/>
    </row>
    <row r="11" spans="1:15" ht="13.8">
      <c r="A11" s="126"/>
      <c r="B11" s="125"/>
      <c r="C11" s="125"/>
      <c r="D11" s="125"/>
      <c r="E11" s="125"/>
    </row>
    <row r="12" spans="1:15" ht="13.8">
      <c r="A12" s="126"/>
      <c r="B12" s="125"/>
      <c r="C12" s="125"/>
      <c r="D12" s="125"/>
      <c r="E12" s="125"/>
    </row>
    <row r="13" spans="1:15" ht="13.8">
      <c r="A13" s="126"/>
      <c r="B13" s="125"/>
      <c r="C13" s="125"/>
      <c r="D13" s="125"/>
      <c r="E13" s="125"/>
    </row>
    <row r="14" spans="1:15" ht="13.8">
      <c r="A14" s="126"/>
      <c r="B14" s="125"/>
      <c r="C14" s="125"/>
      <c r="D14" s="125"/>
      <c r="E14" s="125"/>
    </row>
    <row r="15" spans="1:15" ht="13.8">
      <c r="A15" s="126"/>
      <c r="B15" s="125"/>
      <c r="C15" s="125"/>
      <c r="D15" s="125"/>
      <c r="E15" s="125"/>
    </row>
    <row r="16" spans="1:15" ht="13.8">
      <c r="A16" s="126"/>
      <c r="B16" s="125"/>
      <c r="C16" s="125"/>
      <c r="D16" s="125"/>
      <c r="E16" s="125"/>
    </row>
    <row r="17" spans="1:5" ht="13.8">
      <c r="A17" s="126"/>
      <c r="B17" s="125"/>
      <c r="C17" s="125"/>
      <c r="D17" s="125"/>
      <c r="E17" s="125"/>
    </row>
    <row r="18" spans="1:5" ht="13.8">
      <c r="A18" s="126"/>
      <c r="B18" s="125"/>
      <c r="C18" s="125"/>
      <c r="D18" s="125"/>
      <c r="E18" s="125"/>
    </row>
    <row r="19" spans="1:5" ht="13.8">
      <c r="A19" s="126"/>
      <c r="B19" s="125"/>
      <c r="C19" s="125"/>
      <c r="D19" s="125"/>
      <c r="E19" s="125"/>
    </row>
    <row r="20" spans="1:5" ht="13.8">
      <c r="A20" s="126"/>
      <c r="B20" s="125"/>
      <c r="C20" s="125"/>
      <c r="D20" s="125"/>
      <c r="E20" s="125"/>
    </row>
    <row r="21" spans="1:5" ht="15">
      <c r="A21" s="126"/>
      <c r="B21" s="125"/>
      <c r="C21" s="12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947E-DC7A-455F-938B-AA79CD3F525F}">
  <dimension ref="A1:L5"/>
  <sheetViews>
    <sheetView workbookViewId="0">
      <selection activeCell="L18" sqref="L18"/>
    </sheetView>
  </sheetViews>
  <sheetFormatPr defaultRowHeight="13.2"/>
  <cols>
    <col min="1" max="1" width="22.5546875" bestFit="1" customWidth="1"/>
  </cols>
  <sheetData>
    <row r="1" spans="1:12">
      <c r="A1" s="212" t="s">
        <v>237</v>
      </c>
      <c r="B1" s="212" t="s">
        <v>112</v>
      </c>
      <c r="C1" s="212" t="s">
        <v>113</v>
      </c>
      <c r="D1" s="212" t="s">
        <v>114</v>
      </c>
      <c r="E1" s="212" t="s">
        <v>115</v>
      </c>
      <c r="F1" s="212" t="s">
        <v>116</v>
      </c>
      <c r="G1" s="212" t="s">
        <v>117</v>
      </c>
      <c r="H1" s="212" t="s">
        <v>118</v>
      </c>
      <c r="I1" s="212" t="s">
        <v>34</v>
      </c>
      <c r="J1" s="212" t="s">
        <v>37</v>
      </c>
      <c r="K1" s="212" t="s">
        <v>54</v>
      </c>
      <c r="L1" s="212" t="s">
        <v>165</v>
      </c>
    </row>
    <row r="2" spans="1:12">
      <c r="A2" s="83" t="s">
        <v>125</v>
      </c>
      <c r="B2" s="95">
        <v>1556.7</v>
      </c>
      <c r="C2" s="95">
        <v>1713.5</v>
      </c>
      <c r="D2" s="95">
        <v>1686.7</v>
      </c>
      <c r="E2" s="95">
        <v>2002</v>
      </c>
      <c r="F2" s="95">
        <v>1937</v>
      </c>
      <c r="G2" s="95">
        <v>1907.5</v>
      </c>
      <c r="H2" s="95">
        <v>1801.3</v>
      </c>
      <c r="I2" s="95">
        <v>2084</v>
      </c>
      <c r="J2" s="95">
        <v>2163.6999999999998</v>
      </c>
      <c r="K2" s="95">
        <v>2319.1999999999998</v>
      </c>
      <c r="L2" s="95">
        <v>2616</v>
      </c>
    </row>
    <row r="3" spans="1:12">
      <c r="A3" s="83" t="s">
        <v>238</v>
      </c>
      <c r="B3" s="83">
        <v>1565.3</v>
      </c>
      <c r="C3" s="83">
        <v>1860.1</v>
      </c>
      <c r="D3" s="83">
        <v>1596.6</v>
      </c>
      <c r="E3" s="83">
        <v>1403</v>
      </c>
      <c r="F3" s="83">
        <v>1298</v>
      </c>
      <c r="G3" s="83">
        <v>1345.6</v>
      </c>
      <c r="H3" s="83">
        <v>1713.1</v>
      </c>
      <c r="I3" s="83">
        <v>1286.5</v>
      </c>
      <c r="J3" s="83">
        <v>1687.5</v>
      </c>
      <c r="K3" s="83">
        <v>1315</v>
      </c>
      <c r="L3" s="83">
        <v>898.5</v>
      </c>
    </row>
    <row r="4" spans="1:12">
      <c r="A4" s="83" t="s">
        <v>172</v>
      </c>
      <c r="B4" s="83">
        <v>1353.5</v>
      </c>
      <c r="C4" s="83">
        <v>1625</v>
      </c>
      <c r="D4" s="83">
        <v>1671</v>
      </c>
      <c r="E4" s="83">
        <v>1871.6</v>
      </c>
      <c r="F4" s="83">
        <v>1419.6</v>
      </c>
      <c r="G4" s="83">
        <v>1429.4</v>
      </c>
      <c r="H4" s="83">
        <v>1658.5</v>
      </c>
      <c r="I4" s="83">
        <v>1578.3</v>
      </c>
      <c r="J4" s="83">
        <v>1448.5</v>
      </c>
      <c r="K4" s="83">
        <v>1645</v>
      </c>
      <c r="L4" s="83">
        <v>1757</v>
      </c>
    </row>
    <row r="5" spans="1:12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E2DD-932B-4313-A109-1653876E3EBC}">
  <dimension ref="A1:D8"/>
  <sheetViews>
    <sheetView workbookViewId="0"/>
  </sheetViews>
  <sheetFormatPr defaultRowHeight="13.2"/>
  <cols>
    <col min="2" max="2" width="20.44140625" customWidth="1"/>
  </cols>
  <sheetData>
    <row r="1" spans="1:4">
      <c r="A1" s="214" t="s">
        <v>236</v>
      </c>
      <c r="B1" s="213"/>
    </row>
    <row r="2" spans="1:4">
      <c r="A2" s="215" t="s">
        <v>168</v>
      </c>
      <c r="B2" s="216" t="s">
        <v>37</v>
      </c>
      <c r="C2" s="217" t="s">
        <v>54</v>
      </c>
      <c r="D2" s="212" t="s">
        <v>165</v>
      </c>
    </row>
    <row r="3" spans="1:4">
      <c r="A3" s="149" t="s">
        <v>169</v>
      </c>
      <c r="B3" s="148">
        <v>22</v>
      </c>
      <c r="C3" s="148">
        <v>26</v>
      </c>
    </row>
    <row r="4" spans="1:4">
      <c r="A4" s="121" t="s">
        <v>170</v>
      </c>
      <c r="B4" s="148">
        <v>22</v>
      </c>
      <c r="C4" s="148">
        <v>20</v>
      </c>
    </row>
    <row r="5" spans="1:4">
      <c r="A5" s="121" t="s">
        <v>167</v>
      </c>
      <c r="B5" s="148">
        <v>29</v>
      </c>
      <c r="C5" s="148">
        <v>30</v>
      </c>
    </row>
    <row r="6" spans="1:4">
      <c r="A6" s="121" t="s">
        <v>171</v>
      </c>
      <c r="B6" s="148">
        <v>27</v>
      </c>
      <c r="C6" s="148"/>
    </row>
    <row r="7" spans="1:4">
      <c r="A7" s="121" t="s">
        <v>244</v>
      </c>
      <c r="B7" s="148"/>
      <c r="C7" s="148">
        <v>30</v>
      </c>
    </row>
    <row r="8" spans="1:4">
      <c r="A8" s="121" t="s">
        <v>28</v>
      </c>
      <c r="B8" s="143">
        <v>104.5</v>
      </c>
      <c r="C8" s="143">
        <v>108</v>
      </c>
      <c r="D8" s="150">
        <v>109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4C12-F1B6-4B72-B86F-BE5F255536AC}">
  <dimension ref="A1:G39"/>
  <sheetViews>
    <sheetView workbookViewId="0">
      <pane xSplit="1" ySplit="1" topLeftCell="B2" activePane="bottomRight" state="frozen"/>
      <selection activeCell="K40" sqref="K40"/>
      <selection pane="topRight" activeCell="K40" sqref="K40"/>
      <selection pane="bottomLeft" activeCell="K40" sqref="K40"/>
      <selection pane="bottomRight"/>
    </sheetView>
  </sheetViews>
  <sheetFormatPr defaultColWidth="8.88671875" defaultRowHeight="13.2"/>
  <cols>
    <col min="1" max="1" width="12.6640625" style="121" customWidth="1"/>
    <col min="2" max="2" width="35.5546875" style="121" customWidth="1"/>
    <col min="3" max="3" width="19.5546875" style="121" bestFit="1" customWidth="1"/>
    <col min="4" max="4" width="17.5546875" style="121" bestFit="1" customWidth="1"/>
    <col min="5" max="5" width="24.44140625" style="121" bestFit="1" customWidth="1"/>
    <col min="6" max="16384" width="8.88671875" style="121"/>
  </cols>
  <sheetData>
    <row r="1" spans="1:7">
      <c r="A1" s="156"/>
      <c r="B1" s="157" t="s">
        <v>242</v>
      </c>
      <c r="C1" s="157" t="s">
        <v>174</v>
      </c>
      <c r="D1" s="157" t="s">
        <v>175</v>
      </c>
      <c r="E1" s="157" t="s">
        <v>243</v>
      </c>
      <c r="F1" s="157"/>
    </row>
    <row r="2" spans="1:7" ht="14.4">
      <c r="A2" s="158" t="s">
        <v>176</v>
      </c>
      <c r="B2" s="219">
        <v>0.3</v>
      </c>
      <c r="C2" s="161">
        <v>2.82</v>
      </c>
      <c r="D2" s="161">
        <v>3.04</v>
      </c>
      <c r="E2" s="219">
        <v>0.42</v>
      </c>
      <c r="G2" s="218"/>
    </row>
    <row r="3" spans="1:7" ht="14.4">
      <c r="A3" s="158" t="s">
        <v>177</v>
      </c>
      <c r="B3" s="219">
        <v>0.6</v>
      </c>
      <c r="C3" s="161">
        <v>2.82</v>
      </c>
      <c r="D3" s="161">
        <v>3.04</v>
      </c>
      <c r="E3" s="219">
        <v>0.9</v>
      </c>
      <c r="G3" s="220"/>
    </row>
    <row r="4" spans="1:7" ht="14.4">
      <c r="A4" s="158" t="s">
        <v>178</v>
      </c>
      <c r="B4" s="219">
        <v>1</v>
      </c>
      <c r="C4" s="161">
        <v>2.82</v>
      </c>
      <c r="D4" s="161">
        <v>3.04</v>
      </c>
      <c r="E4" s="219">
        <v>1.3</v>
      </c>
      <c r="G4" s="220"/>
    </row>
    <row r="5" spans="1:7" ht="14.4">
      <c r="A5" s="158" t="s">
        <v>179</v>
      </c>
      <c r="B5" s="219">
        <v>1.4</v>
      </c>
      <c r="C5" s="161">
        <v>2.82</v>
      </c>
      <c r="D5" s="161">
        <v>3.04</v>
      </c>
      <c r="E5" s="219">
        <v>1.8</v>
      </c>
      <c r="G5" s="220"/>
    </row>
    <row r="6" spans="1:7" ht="14.4">
      <c r="A6" s="158" t="s">
        <v>48</v>
      </c>
      <c r="B6" s="219">
        <v>1.9</v>
      </c>
      <c r="C6" s="161">
        <v>2.82</v>
      </c>
      <c r="D6" s="161">
        <v>3.04</v>
      </c>
      <c r="E6" s="219">
        <v>2.2000000000000002</v>
      </c>
      <c r="G6" s="220"/>
    </row>
    <row r="7" spans="1:7" ht="14.4">
      <c r="A7" s="158" t="s">
        <v>180</v>
      </c>
      <c r="B7" s="219">
        <v>2.2999999999999998</v>
      </c>
      <c r="C7" s="161">
        <v>2.82</v>
      </c>
      <c r="D7" s="161">
        <v>3.04</v>
      </c>
    </row>
    <row r="8" spans="1:7" ht="14.4">
      <c r="A8" s="158" t="s">
        <v>181</v>
      </c>
      <c r="B8" s="219">
        <v>2.7</v>
      </c>
      <c r="C8" s="161">
        <v>2.82</v>
      </c>
      <c r="D8" s="161">
        <v>3.04</v>
      </c>
    </row>
    <row r="9" spans="1:7" ht="14.4">
      <c r="A9" s="158" t="s">
        <v>182</v>
      </c>
      <c r="B9" s="219">
        <v>3.1</v>
      </c>
      <c r="C9" s="161">
        <v>2.82</v>
      </c>
      <c r="D9" s="161">
        <v>3.04</v>
      </c>
    </row>
    <row r="10" spans="1:7" ht="14.4">
      <c r="A10" s="158" t="s">
        <v>183</v>
      </c>
      <c r="B10" s="219">
        <v>3.5</v>
      </c>
      <c r="C10" s="161">
        <v>2.82</v>
      </c>
      <c r="D10" s="161">
        <v>3.04</v>
      </c>
    </row>
    <row r="11" spans="1:7" ht="14.4">
      <c r="A11" s="158" t="s">
        <v>184</v>
      </c>
      <c r="B11" s="219">
        <v>4</v>
      </c>
      <c r="C11" s="161">
        <v>2.82</v>
      </c>
      <c r="D11" s="161">
        <v>3.04</v>
      </c>
    </row>
    <row r="12" spans="1:7" ht="14.4">
      <c r="A12" s="158" t="s">
        <v>185</v>
      </c>
      <c r="B12" s="219">
        <v>4.4000000000000004</v>
      </c>
      <c r="C12" s="161">
        <v>2.82</v>
      </c>
      <c r="D12" s="161">
        <v>3.04</v>
      </c>
    </row>
    <row r="13" spans="1:7" ht="14.4">
      <c r="A13" s="158" t="s">
        <v>186</v>
      </c>
      <c r="B13" s="219">
        <v>4.9000000000000004</v>
      </c>
      <c r="C13" s="161">
        <v>2.82</v>
      </c>
      <c r="D13" s="161">
        <v>3.04</v>
      </c>
    </row>
    <row r="14" spans="1:7" ht="14.4">
      <c r="A14" s="158"/>
      <c r="B14" s="218"/>
      <c r="C14" s="161"/>
      <c r="D14" s="161"/>
    </row>
    <row r="15" spans="1:7" ht="14.4">
      <c r="A15" s="158"/>
      <c r="B15" s="218"/>
      <c r="C15" s="161"/>
      <c r="D15" s="161"/>
    </row>
    <row r="16" spans="1:7" ht="14.4">
      <c r="A16" s="158"/>
      <c r="B16" s="218"/>
      <c r="C16" s="161"/>
      <c r="D16" s="161"/>
    </row>
    <row r="17" spans="1:4">
      <c r="A17" s="158"/>
      <c r="B17" s="123"/>
      <c r="C17" s="161"/>
      <c r="D17" s="161"/>
    </row>
    <row r="18" spans="1:4" ht="14.4">
      <c r="A18" s="158"/>
      <c r="B18" s="218"/>
      <c r="C18" s="160"/>
    </row>
    <row r="19" spans="1:4" ht="14.4">
      <c r="A19" s="158"/>
      <c r="B19" s="218"/>
      <c r="C19" s="160"/>
    </row>
    <row r="20" spans="1:4" ht="14.4">
      <c r="A20" s="142"/>
      <c r="B20" s="218"/>
      <c r="C20" s="160"/>
    </row>
    <row r="22" spans="1:4">
      <c r="A22" s="158"/>
      <c r="B22" s="143"/>
      <c r="C22" s="143"/>
    </row>
    <row r="23" spans="1:4">
      <c r="A23" s="158"/>
      <c r="B23" s="143"/>
      <c r="C23" s="143"/>
    </row>
    <row r="24" spans="1:4">
      <c r="A24" s="158"/>
      <c r="B24" s="143"/>
      <c r="C24" s="143"/>
    </row>
    <row r="25" spans="1:4">
      <c r="A25" s="158"/>
      <c r="B25" s="143"/>
      <c r="C25" s="143"/>
    </row>
    <row r="26" spans="1:4">
      <c r="A26" s="158"/>
      <c r="B26" s="143"/>
      <c r="C26" s="143"/>
    </row>
    <row r="27" spans="1:4">
      <c r="A27" s="158"/>
      <c r="B27" s="143"/>
      <c r="C27" s="143"/>
    </row>
    <row r="28" spans="1:4">
      <c r="A28" s="158"/>
      <c r="B28" s="143"/>
      <c r="C28" s="143"/>
    </row>
    <row r="29" spans="1:4">
      <c r="A29" s="158"/>
      <c r="B29" s="143"/>
      <c r="C29" s="143"/>
    </row>
    <row r="30" spans="1:4">
      <c r="A30" s="158"/>
      <c r="B30" s="143"/>
      <c r="C30" s="143"/>
    </row>
    <row r="31" spans="1:4">
      <c r="A31" s="158"/>
      <c r="B31" s="143"/>
      <c r="C31" s="143"/>
    </row>
    <row r="32" spans="1:4">
      <c r="A32" s="158"/>
      <c r="B32" s="143"/>
      <c r="C32" s="143"/>
    </row>
    <row r="33" spans="1:3">
      <c r="A33" s="158"/>
      <c r="B33" s="143"/>
      <c r="C33" s="143"/>
    </row>
    <row r="34" spans="1:3">
      <c r="A34" s="158"/>
      <c r="B34" s="143"/>
      <c r="C34" s="143"/>
    </row>
    <row r="35" spans="1:3">
      <c r="A35" s="158"/>
      <c r="B35" s="143"/>
      <c r="C35" s="143"/>
    </row>
    <row r="36" spans="1:3">
      <c r="A36" s="158"/>
      <c r="B36" s="143"/>
      <c r="C36" s="143"/>
    </row>
    <row r="37" spans="1:3">
      <c r="A37" s="158"/>
      <c r="B37" s="143"/>
      <c r="C37" s="143"/>
    </row>
    <row r="38" spans="1:3">
      <c r="A38" s="158"/>
      <c r="B38" s="143"/>
      <c r="C38" s="143"/>
    </row>
    <row r="39" spans="1:3">
      <c r="A39" s="158"/>
      <c r="B39" s="143"/>
      <c r="C39" s="14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45C9-0ED6-47E5-9090-CC8CCDB4C02A}">
  <dimension ref="A1:H13"/>
  <sheetViews>
    <sheetView workbookViewId="0"/>
  </sheetViews>
  <sheetFormatPr defaultRowHeight="13.2"/>
  <cols>
    <col min="1" max="1" width="32.109375" bestFit="1" customWidth="1"/>
    <col min="2" max="2" width="17.5546875" bestFit="1" customWidth="1"/>
  </cols>
  <sheetData>
    <row r="1" spans="1:8" ht="13.8">
      <c r="A1" s="15" t="s">
        <v>227</v>
      </c>
      <c r="B1" s="15">
        <v>2020</v>
      </c>
      <c r="C1" s="15">
        <v>2021</v>
      </c>
      <c r="D1" s="15">
        <v>2022</v>
      </c>
      <c r="E1" s="15">
        <v>2023</v>
      </c>
      <c r="F1" s="15">
        <v>2024</v>
      </c>
    </row>
    <row r="2" spans="1:8" ht="13.8">
      <c r="A2" s="201" t="s">
        <v>187</v>
      </c>
      <c r="B2" s="202">
        <v>63.62</v>
      </c>
      <c r="C2" s="70">
        <v>150.62</v>
      </c>
      <c r="D2" s="203">
        <v>161.861111111111</v>
      </c>
      <c r="E2" s="203">
        <v>134.67839357429719</v>
      </c>
      <c r="F2" s="203">
        <v>54.488095238095241</v>
      </c>
    </row>
    <row r="3" spans="1:8" ht="13.8">
      <c r="A3" s="201" t="s">
        <v>188</v>
      </c>
      <c r="B3" s="202">
        <v>1.7</v>
      </c>
      <c r="C3" s="202">
        <v>1.7</v>
      </c>
      <c r="D3" s="202">
        <v>1.7</v>
      </c>
      <c r="E3" s="202">
        <v>1.7</v>
      </c>
      <c r="F3" s="202">
        <v>1.7</v>
      </c>
    </row>
    <row r="4" spans="1:8" ht="13.8">
      <c r="A4" s="201" t="s">
        <v>189</v>
      </c>
      <c r="B4" s="203">
        <v>200.27351778656129</v>
      </c>
      <c r="C4" s="203">
        <v>177.69108</v>
      </c>
      <c r="D4" s="203">
        <v>98.534999999999997</v>
      </c>
      <c r="E4" s="203">
        <v>72.800200803212846</v>
      </c>
      <c r="F4" s="203">
        <v>57.775873015873017</v>
      </c>
    </row>
    <row r="5" spans="1:8" ht="15.6">
      <c r="A5" s="201" t="s">
        <v>190</v>
      </c>
      <c r="B5" s="202">
        <v>89.37</v>
      </c>
      <c r="C5" s="202">
        <v>89.37</v>
      </c>
      <c r="D5" s="202">
        <v>89.37</v>
      </c>
      <c r="E5" s="202">
        <v>89.37</v>
      </c>
      <c r="F5" s="202">
        <v>89.37</v>
      </c>
      <c r="G5" s="199"/>
    </row>
    <row r="6" spans="1:8" ht="15.6">
      <c r="A6" s="201" t="s">
        <v>191</v>
      </c>
      <c r="B6" s="202">
        <v>129.65</v>
      </c>
      <c r="C6" s="202">
        <v>129.65</v>
      </c>
      <c r="D6" s="202">
        <v>129.65</v>
      </c>
      <c r="E6" s="202">
        <v>129.65</v>
      </c>
      <c r="F6" s="202">
        <v>129.65</v>
      </c>
      <c r="G6" s="199"/>
    </row>
    <row r="9" spans="1:8" ht="13.8">
      <c r="A9" s="201" t="s">
        <v>192</v>
      </c>
      <c r="B9" s="15" t="s">
        <v>228</v>
      </c>
      <c r="C9" s="201">
        <v>2020</v>
      </c>
      <c r="D9" s="15">
        <v>2021</v>
      </c>
      <c r="E9" s="15">
        <v>2022</v>
      </c>
      <c r="F9" s="15">
        <v>2023</v>
      </c>
      <c r="G9" s="15">
        <v>2024</v>
      </c>
    </row>
    <row r="10" spans="1:8" ht="13.8">
      <c r="A10" s="15" t="s">
        <v>193</v>
      </c>
      <c r="B10" s="15">
        <v>62</v>
      </c>
      <c r="C10" s="204">
        <f t="shared" ref="C10:G13" si="0">B$4*(B$5-$B10)*(B$6/1000000)+B$2/100</f>
        <v>1.3468746834727274</v>
      </c>
      <c r="D10" s="204">
        <f t="shared" si="0"/>
        <v>2.1367404400471401</v>
      </c>
      <c r="E10" s="204">
        <f t="shared" si="0"/>
        <v>1.9682645785786101</v>
      </c>
      <c r="F10" s="204">
        <f t="shared" si="0"/>
        <v>1.6051169406972892</v>
      </c>
      <c r="G10" s="204">
        <f t="shared" si="0"/>
        <v>0.74989982218317464</v>
      </c>
    </row>
    <row r="11" spans="1:8" ht="13.8">
      <c r="A11" s="15" t="s">
        <v>194</v>
      </c>
      <c r="B11" s="15">
        <v>29</v>
      </c>
      <c r="C11" s="204">
        <f t="shared" si="0"/>
        <v>2.2037349156466406</v>
      </c>
      <c r="D11" s="204">
        <f t="shared" si="0"/>
        <v>2.8969828412731404</v>
      </c>
      <c r="E11" s="204">
        <f t="shared" si="0"/>
        <v>2.3898416493286101</v>
      </c>
      <c r="F11" s="204">
        <f t="shared" si="0"/>
        <v>1.9165889598237951</v>
      </c>
      <c r="G11" s="204">
        <f t="shared" si="0"/>
        <v>0.99709100608793655</v>
      </c>
      <c r="H11" s="93"/>
    </row>
    <row r="12" spans="1:8" ht="13.8">
      <c r="A12" s="15" t="s">
        <v>195</v>
      </c>
      <c r="B12" s="15">
        <v>57</v>
      </c>
      <c r="C12" s="204">
        <f t="shared" si="0"/>
        <v>1.4767019913778658</v>
      </c>
      <c r="D12" s="204">
        <f t="shared" si="0"/>
        <v>2.2519286826571401</v>
      </c>
      <c r="E12" s="204">
        <f t="shared" si="0"/>
        <v>2.03213989232861</v>
      </c>
      <c r="F12" s="204">
        <f t="shared" si="0"/>
        <v>1.6523096708679719</v>
      </c>
      <c r="G12" s="204">
        <f t="shared" si="0"/>
        <v>0.78735303186571426</v>
      </c>
    </row>
    <row r="13" spans="1:8" ht="13.8">
      <c r="A13" s="15" t="s">
        <v>196</v>
      </c>
      <c r="B13" s="15">
        <v>42</v>
      </c>
      <c r="C13" s="204">
        <f t="shared" si="0"/>
        <v>1.8661839150932811</v>
      </c>
      <c r="D13" s="204">
        <f t="shared" si="0"/>
        <v>2.5974934104871403</v>
      </c>
      <c r="E13" s="204">
        <f t="shared" si="0"/>
        <v>2.2237658335786104</v>
      </c>
      <c r="F13" s="204">
        <f t="shared" si="0"/>
        <v>1.79388786138002</v>
      </c>
      <c r="G13" s="204">
        <f t="shared" si="0"/>
        <v>0.89971266091333335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1BF3-9352-4DED-A11F-4FB4FC85D5D4}">
  <dimension ref="A1:B9"/>
  <sheetViews>
    <sheetView workbookViewId="0">
      <selection sqref="A1:B1"/>
    </sheetView>
  </sheetViews>
  <sheetFormatPr defaultRowHeight="13.2"/>
  <cols>
    <col min="1" max="1" width="26.6640625" customWidth="1"/>
    <col min="2" max="2" width="24.33203125" customWidth="1"/>
  </cols>
  <sheetData>
    <row r="1" spans="1:2">
      <c r="A1" s="276" t="s">
        <v>247</v>
      </c>
      <c r="B1" s="276"/>
    </row>
    <row r="2" spans="1:2" ht="43.5" customHeight="1">
      <c r="A2" s="277" t="s">
        <v>197</v>
      </c>
      <c r="B2" s="277"/>
    </row>
    <row r="3" spans="1:2" ht="13.8" thickBot="1">
      <c r="A3" s="162" t="s">
        <v>192</v>
      </c>
      <c r="B3" s="163" t="s">
        <v>198</v>
      </c>
    </row>
    <row r="4" spans="1:2">
      <c r="A4" s="164" t="s">
        <v>193</v>
      </c>
      <c r="B4" s="164">
        <v>62</v>
      </c>
    </row>
    <row r="5" spans="1:2">
      <c r="A5" s="164" t="s">
        <v>194</v>
      </c>
      <c r="B5" s="164">
        <v>29</v>
      </c>
    </row>
    <row r="6" spans="1:2">
      <c r="A6" s="164" t="s">
        <v>195</v>
      </c>
      <c r="B6" s="164">
        <v>57</v>
      </c>
    </row>
    <row r="7" spans="1:2">
      <c r="A7" s="164" t="s">
        <v>196</v>
      </c>
      <c r="B7" s="164">
        <v>42</v>
      </c>
    </row>
    <row r="8" spans="1:2" ht="26.25" customHeight="1">
      <c r="A8" s="278" t="s">
        <v>199</v>
      </c>
      <c r="B8" s="278"/>
    </row>
    <row r="9" spans="1:2" ht="26.25" customHeight="1" thickBot="1">
      <c r="A9" s="279" t="s">
        <v>200</v>
      </c>
      <c r="B9" s="279"/>
    </row>
  </sheetData>
  <mergeCells count="4">
    <mergeCell ref="A1:B1"/>
    <mergeCell ref="A2:B2"/>
    <mergeCell ref="A8:B8"/>
    <mergeCell ref="A9:B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6893-A6E6-4382-ABBC-FC5C2970F78F}">
  <dimension ref="A1:L34"/>
  <sheetViews>
    <sheetView workbookViewId="0">
      <pane xSplit="1" ySplit="2" topLeftCell="B3" activePane="bottomRight" state="frozen"/>
      <selection activeCell="C19" sqref="C19"/>
      <selection pane="topRight" activeCell="C19" sqref="C19"/>
      <selection pane="bottomLeft" activeCell="C19" sqref="C19"/>
      <selection pane="bottomRight"/>
    </sheetView>
  </sheetViews>
  <sheetFormatPr defaultColWidth="8.88671875" defaultRowHeight="13.2"/>
  <cols>
    <col min="1" max="1" width="14.44140625" style="121" customWidth="1"/>
    <col min="2" max="4" width="17.5546875" style="121" customWidth="1"/>
    <col min="5" max="5" width="14" style="121" customWidth="1"/>
    <col min="6" max="16384" width="8.88671875" style="121"/>
  </cols>
  <sheetData>
    <row r="1" spans="1:12">
      <c r="A1" s="165"/>
      <c r="B1" s="166" t="s">
        <v>201</v>
      </c>
      <c r="C1" s="167"/>
      <c r="D1" s="167"/>
      <c r="E1" s="167"/>
      <c r="F1" s="165"/>
      <c r="G1" s="165"/>
      <c r="H1" s="165"/>
      <c r="I1" s="165"/>
      <c r="J1" s="165"/>
      <c r="K1" s="165"/>
      <c r="L1" s="165"/>
    </row>
    <row r="2" spans="1:12" ht="66">
      <c r="A2" s="156" t="s">
        <v>153</v>
      </c>
      <c r="B2" s="206" t="s">
        <v>202</v>
      </c>
      <c r="C2" s="206" t="s">
        <v>203</v>
      </c>
      <c r="D2" s="206" t="s">
        <v>204</v>
      </c>
      <c r="E2" s="206" t="s">
        <v>205</v>
      </c>
      <c r="G2" s="165"/>
      <c r="H2" s="165"/>
      <c r="I2" s="165"/>
      <c r="J2" s="165"/>
      <c r="K2" s="165"/>
      <c r="L2" s="165"/>
    </row>
    <row r="3" spans="1:12">
      <c r="A3" s="205">
        <v>2016</v>
      </c>
      <c r="B3" s="123">
        <v>29.275833333333338</v>
      </c>
      <c r="C3" s="123">
        <v>28.054444444444446</v>
      </c>
      <c r="D3" s="123">
        <v>38.84605835873225</v>
      </c>
      <c r="E3" s="123">
        <v>31.583333333333332</v>
      </c>
      <c r="F3" s="146"/>
      <c r="G3" s="165"/>
      <c r="H3" s="165"/>
      <c r="I3" s="165"/>
      <c r="J3" s="165"/>
      <c r="K3" s="165"/>
      <c r="L3" s="165"/>
    </row>
    <row r="4" spans="1:12">
      <c r="A4" s="205">
        <v>2017</v>
      </c>
      <c r="B4" s="123">
        <v>30.403333333333336</v>
      </c>
      <c r="C4" s="123">
        <v>29.118333333333336</v>
      </c>
      <c r="D4" s="123">
        <v>37.820601029675615</v>
      </c>
      <c r="E4" s="123">
        <v>32.055833333333332</v>
      </c>
      <c r="F4" s="146"/>
      <c r="G4" s="165"/>
      <c r="H4" s="165"/>
      <c r="I4" s="165"/>
      <c r="J4" s="165"/>
      <c r="K4" s="165"/>
      <c r="L4" s="165"/>
    </row>
    <row r="5" spans="1:12">
      <c r="A5" s="205">
        <v>2018</v>
      </c>
      <c r="B5" s="123">
        <v>25.181666666666661</v>
      </c>
      <c r="C5" s="123">
        <v>23.855</v>
      </c>
      <c r="D5" s="123">
        <v>32.518788960149017</v>
      </c>
      <c r="E5" s="123">
        <v>28.915000000000003</v>
      </c>
      <c r="F5" s="146"/>
      <c r="G5" s="165"/>
      <c r="H5" s="165"/>
      <c r="I5" s="165"/>
      <c r="J5" s="165"/>
      <c r="K5" s="165"/>
      <c r="L5" s="165"/>
    </row>
    <row r="6" spans="1:12">
      <c r="A6" s="205">
        <v>2019</v>
      </c>
      <c r="B6" s="123">
        <v>27.350909090909092</v>
      </c>
      <c r="C6" s="123">
        <v>26.012499999999999</v>
      </c>
      <c r="D6" s="123">
        <v>32.330884201510443</v>
      </c>
      <c r="E6" s="123">
        <v>28.966666666666669</v>
      </c>
      <c r="F6" s="146"/>
      <c r="G6" s="165"/>
      <c r="H6" s="165"/>
      <c r="I6" s="165"/>
      <c r="J6" s="165"/>
      <c r="K6" s="165"/>
      <c r="L6" s="165"/>
    </row>
    <row r="7" spans="1:12">
      <c r="A7" s="205">
        <v>2020</v>
      </c>
      <c r="B7" s="123">
        <v>29.970000000000006</v>
      </c>
      <c r="C7" s="123">
        <v>27.953999999999997</v>
      </c>
      <c r="D7" s="123">
        <v>31.625358754259842</v>
      </c>
      <c r="E7" s="123">
        <v>31.291666666666671</v>
      </c>
      <c r="F7" s="146"/>
      <c r="G7" s="165"/>
      <c r="H7" s="165"/>
      <c r="I7" s="165"/>
      <c r="J7" s="165"/>
      <c r="K7" s="165"/>
      <c r="L7" s="165"/>
    </row>
    <row r="8" spans="1:12">
      <c r="A8" s="205">
        <v>2021</v>
      </c>
      <c r="B8" s="123">
        <v>57.24</v>
      </c>
      <c r="C8" s="123">
        <v>50.830000000000005</v>
      </c>
      <c r="D8" s="123">
        <v>45.028936996268037</v>
      </c>
      <c r="E8" s="123">
        <v>64.041666666666671</v>
      </c>
      <c r="F8" s="172"/>
      <c r="G8" s="165"/>
      <c r="H8" s="165"/>
      <c r="I8" s="165"/>
      <c r="J8" s="165"/>
      <c r="K8" s="165"/>
      <c r="L8" s="165"/>
    </row>
    <row r="9" spans="1:12">
      <c r="A9" s="205">
        <v>2022</v>
      </c>
      <c r="B9" s="123">
        <v>74.890999999999991</v>
      </c>
      <c r="C9" s="123">
        <v>71.44</v>
      </c>
      <c r="D9" s="123">
        <v>67.027987079851343</v>
      </c>
      <c r="E9" s="123">
        <v>74.603541666666658</v>
      </c>
      <c r="F9" s="146"/>
      <c r="G9" s="165"/>
      <c r="H9" s="165"/>
      <c r="I9" s="165"/>
      <c r="J9" s="165"/>
      <c r="K9" s="165"/>
      <c r="L9" s="165"/>
    </row>
    <row r="10" spans="1:12">
      <c r="A10" s="205">
        <v>2023</v>
      </c>
      <c r="B10" s="123">
        <v>58.700138888888901</v>
      </c>
      <c r="C10" s="123">
        <v>55.97</v>
      </c>
      <c r="D10" s="123">
        <v>54.202658351418599</v>
      </c>
      <c r="E10" s="123">
        <v>60.444666666666656</v>
      </c>
      <c r="F10" s="146"/>
      <c r="G10" s="165"/>
      <c r="H10" s="165"/>
      <c r="I10" s="165"/>
      <c r="J10" s="165"/>
      <c r="K10" s="165"/>
      <c r="L10" s="165"/>
    </row>
    <row r="11" spans="1:12">
      <c r="A11" s="205" t="s">
        <v>206</v>
      </c>
      <c r="B11" s="123">
        <v>41.383333333333333</v>
      </c>
      <c r="C11" s="123">
        <v>38.94</v>
      </c>
      <c r="D11" s="123">
        <v>44.467746636860184</v>
      </c>
      <c r="E11" s="123">
        <v>45.39</v>
      </c>
      <c r="G11" s="165"/>
      <c r="H11" s="165"/>
      <c r="I11" s="165"/>
      <c r="J11" s="165"/>
      <c r="K11" s="165"/>
      <c r="L11" s="165"/>
    </row>
    <row r="12" spans="1:12">
      <c r="A12" s="168"/>
      <c r="B12" s="123"/>
      <c r="C12" s="123"/>
      <c r="E12" s="165"/>
      <c r="G12" s="165"/>
      <c r="H12" s="165"/>
      <c r="I12" s="165"/>
      <c r="J12" s="165"/>
      <c r="K12" s="165"/>
      <c r="L12" s="165"/>
    </row>
    <row r="13" spans="1:12">
      <c r="A13" s="168"/>
      <c r="B13" s="93"/>
      <c r="C13" s="93"/>
      <c r="D13" s="93"/>
      <c r="E13" s="93"/>
      <c r="G13" s="165"/>
      <c r="H13" s="165"/>
      <c r="I13" s="165"/>
      <c r="J13" s="165"/>
      <c r="K13" s="165"/>
      <c r="L13" s="165"/>
    </row>
    <row r="14" spans="1:12">
      <c r="A14" s="165"/>
      <c r="B14" s="93"/>
      <c r="C14" s="93"/>
      <c r="D14" s="93"/>
      <c r="E14" s="93"/>
      <c r="F14" s="165"/>
      <c r="G14" s="165"/>
      <c r="H14" s="165"/>
      <c r="I14" s="165"/>
      <c r="J14" s="165"/>
      <c r="K14" s="165"/>
      <c r="L14" s="165"/>
    </row>
    <row r="15" spans="1:12">
      <c r="A15" s="168"/>
      <c r="B15" s="169"/>
      <c r="C15" s="169"/>
      <c r="D15" s="169"/>
      <c r="E15" s="169"/>
      <c r="F15" s="169"/>
      <c r="G15" s="165"/>
      <c r="H15" s="165"/>
      <c r="I15" s="165"/>
      <c r="J15" s="165"/>
      <c r="K15" s="165"/>
      <c r="L15" s="165"/>
    </row>
    <row r="16" spans="1:12">
      <c r="A16" s="168"/>
      <c r="B16" s="123"/>
      <c r="C16" s="123"/>
      <c r="D16" s="123"/>
      <c r="E16" s="123"/>
      <c r="F16" s="123"/>
      <c r="G16" s="165"/>
      <c r="H16" s="165"/>
      <c r="I16" s="165"/>
      <c r="J16" s="165"/>
      <c r="K16" s="165"/>
      <c r="L16" s="165"/>
    </row>
    <row r="17" spans="1:12">
      <c r="A17" s="168"/>
      <c r="B17" s="123"/>
      <c r="C17" s="123"/>
      <c r="D17" s="123"/>
      <c r="E17" s="123"/>
      <c r="F17" s="123"/>
      <c r="G17" s="165"/>
      <c r="H17" s="165"/>
      <c r="I17" s="165"/>
      <c r="J17" s="165"/>
      <c r="K17" s="165"/>
      <c r="L17" s="165"/>
    </row>
    <row r="18" spans="1:12">
      <c r="A18" s="168"/>
      <c r="B18" s="123"/>
      <c r="C18" s="123"/>
      <c r="D18" s="123"/>
      <c r="E18" s="123"/>
      <c r="F18" s="123"/>
      <c r="G18" s="165"/>
      <c r="H18" s="165"/>
      <c r="I18" s="165"/>
      <c r="J18" s="165"/>
      <c r="K18" s="165"/>
      <c r="L18" s="165"/>
    </row>
    <row r="19" spans="1:12">
      <c r="A19" s="168"/>
      <c r="B19" s="123"/>
      <c r="C19" s="123"/>
      <c r="D19" s="169"/>
      <c r="E19" s="173"/>
      <c r="F19" s="169"/>
      <c r="G19" s="165"/>
      <c r="H19" s="165"/>
      <c r="I19" s="165"/>
      <c r="J19" s="165"/>
      <c r="K19" s="165"/>
      <c r="L19" s="165"/>
    </row>
    <row r="20" spans="1:12">
      <c r="A20" s="170"/>
      <c r="B20" s="123"/>
      <c r="C20" s="123"/>
      <c r="D20" s="169"/>
      <c r="E20" s="165"/>
      <c r="F20" s="169"/>
      <c r="G20" s="165"/>
      <c r="H20" s="165"/>
      <c r="I20" s="165"/>
      <c r="J20" s="165"/>
      <c r="K20" s="165"/>
      <c r="L20" s="165"/>
    </row>
    <row r="21" spans="1:12">
      <c r="A21" s="168"/>
      <c r="B21" s="123"/>
      <c r="C21" s="123"/>
      <c r="D21" s="123"/>
      <c r="E21" s="123"/>
      <c r="F21" s="169"/>
      <c r="G21" s="165"/>
      <c r="H21" s="165"/>
      <c r="I21" s="165"/>
      <c r="J21" s="165"/>
      <c r="K21" s="165"/>
      <c r="L21" s="165"/>
    </row>
    <row r="22" spans="1:12">
      <c r="A22" s="168"/>
      <c r="B22" s="123"/>
      <c r="C22" s="123"/>
      <c r="D22" s="169"/>
      <c r="E22" s="173"/>
      <c r="F22" s="169"/>
      <c r="G22" s="165"/>
      <c r="H22" s="165"/>
      <c r="I22" s="165"/>
      <c r="J22" s="165"/>
      <c r="K22" s="165"/>
      <c r="L22" s="165"/>
    </row>
    <row r="23" spans="1:12">
      <c r="A23" s="168"/>
      <c r="B23" s="123"/>
      <c r="C23" s="123"/>
      <c r="D23" s="169"/>
      <c r="E23" s="173"/>
      <c r="F23" s="169"/>
      <c r="G23" s="165"/>
      <c r="H23" s="165"/>
      <c r="I23" s="165"/>
      <c r="J23" s="165"/>
      <c r="K23" s="165"/>
      <c r="L23" s="165"/>
    </row>
    <row r="24" spans="1:12">
      <c r="A24" s="168"/>
      <c r="B24" s="123"/>
      <c r="C24" s="123"/>
      <c r="D24" s="171"/>
      <c r="E24" s="173"/>
      <c r="F24" s="165"/>
      <c r="G24" s="165"/>
      <c r="H24" s="165"/>
      <c r="I24" s="165"/>
      <c r="J24" s="165"/>
      <c r="K24" s="165"/>
      <c r="L24" s="165"/>
    </row>
    <row r="25" spans="1:12">
      <c r="A25" s="168"/>
      <c r="B25" s="123"/>
      <c r="C25" s="123"/>
      <c r="D25" s="123"/>
      <c r="E25" s="169"/>
      <c r="F25" s="165"/>
      <c r="G25" s="165"/>
      <c r="H25" s="165"/>
      <c r="I25" s="165"/>
      <c r="J25" s="165"/>
      <c r="K25" s="165"/>
      <c r="L25" s="165"/>
    </row>
    <row r="26" spans="1:12">
      <c r="A26" s="174"/>
      <c r="B26" s="123"/>
      <c r="C26" s="123"/>
      <c r="D26" s="123"/>
      <c r="E26" s="165"/>
      <c r="F26" s="165"/>
      <c r="G26" s="165"/>
      <c r="H26" s="165"/>
      <c r="I26" s="165"/>
      <c r="J26" s="165"/>
      <c r="K26" s="165"/>
      <c r="L26" s="165"/>
    </row>
    <row r="27" spans="1:12">
      <c r="A27" s="165"/>
      <c r="B27" s="123"/>
      <c r="C27" s="123"/>
      <c r="D27" s="123"/>
      <c r="E27" s="165"/>
      <c r="F27" s="165"/>
      <c r="G27" s="165"/>
      <c r="H27" s="165"/>
      <c r="I27" s="165"/>
      <c r="J27" s="165"/>
      <c r="K27" s="165"/>
      <c r="L27" s="165"/>
    </row>
    <row r="28" spans="1:12">
      <c r="A28" s="165"/>
      <c r="B28" s="123"/>
      <c r="C28" s="123"/>
      <c r="D28" s="123"/>
      <c r="E28" s="165"/>
      <c r="F28" s="165"/>
      <c r="G28" s="165"/>
      <c r="H28" s="165"/>
      <c r="I28" s="165"/>
      <c r="J28" s="165"/>
      <c r="K28" s="165"/>
      <c r="L28" s="165"/>
    </row>
    <row r="29" spans="1:12">
      <c r="A29" s="165"/>
      <c r="B29" s="169"/>
      <c r="C29" s="169"/>
      <c r="D29" s="169"/>
      <c r="E29" s="165"/>
      <c r="F29" s="165"/>
      <c r="G29" s="165"/>
      <c r="H29" s="165"/>
      <c r="I29" s="165"/>
      <c r="J29" s="165"/>
      <c r="K29" s="165"/>
      <c r="L29" s="165"/>
    </row>
    <row r="30" spans="1:12">
      <c r="A30" s="165"/>
      <c r="B30" s="169"/>
      <c r="C30" s="169"/>
      <c r="D30" s="165"/>
      <c r="E30" s="165"/>
      <c r="F30" s="165"/>
      <c r="G30" s="165"/>
      <c r="H30" s="165"/>
      <c r="I30" s="165"/>
      <c r="J30" s="165"/>
      <c r="K30" s="165"/>
      <c r="L30" s="165"/>
    </row>
    <row r="31" spans="1:12">
      <c r="A31" s="165"/>
      <c r="B31" s="91"/>
      <c r="C31" s="91"/>
      <c r="D31" s="165"/>
      <c r="E31" s="165"/>
      <c r="F31" s="165"/>
      <c r="G31" s="165"/>
      <c r="H31" s="165"/>
      <c r="I31" s="165"/>
      <c r="J31" s="165"/>
      <c r="K31" s="165"/>
      <c r="L31" s="165"/>
    </row>
    <row r="32" spans="1:12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</row>
    <row r="33" spans="1:12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12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448E-4C10-406D-B781-D8F2F031DC2A}">
  <dimension ref="A1:N29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2"/>
  <cols>
    <col min="1" max="1" width="11.33203125" customWidth="1"/>
    <col min="2" max="2" width="10.88671875" bestFit="1" customWidth="1"/>
    <col min="3" max="3" width="12.44140625" customWidth="1"/>
    <col min="4" max="4" width="10.88671875" bestFit="1" customWidth="1"/>
    <col min="6" max="6" width="16.6640625" style="103" bestFit="1" customWidth="1"/>
    <col min="7" max="7" width="14.33203125" style="103" customWidth="1"/>
    <col min="8" max="8" width="9.6640625" style="103" customWidth="1"/>
    <col min="9" max="9" width="11" customWidth="1"/>
    <col min="10" max="10" width="11.5546875" customWidth="1"/>
  </cols>
  <sheetData>
    <row r="1" spans="1:14">
      <c r="A1" s="175"/>
      <c r="B1" s="252" t="s">
        <v>207</v>
      </c>
      <c r="C1" s="207"/>
      <c r="D1" s="207"/>
      <c r="E1" s="207"/>
      <c r="F1" s="155" t="s">
        <v>75</v>
      </c>
      <c r="G1" s="155"/>
      <c r="H1" s="121"/>
      <c r="I1" s="155" t="s">
        <v>233</v>
      </c>
      <c r="J1" s="121"/>
      <c r="K1" s="121"/>
      <c r="L1" s="121"/>
      <c r="M1" s="121"/>
      <c r="N1" s="121"/>
    </row>
    <row r="2" spans="1:14" ht="79.2">
      <c r="A2" s="179" t="s">
        <v>208</v>
      </c>
      <c r="B2" s="253" t="s">
        <v>209</v>
      </c>
      <c r="C2" s="180" t="s">
        <v>210</v>
      </c>
      <c r="D2" s="180" t="s">
        <v>211</v>
      </c>
      <c r="E2" s="180" t="s">
        <v>231</v>
      </c>
      <c r="F2" s="210" t="s">
        <v>214</v>
      </c>
      <c r="G2" s="206" t="s">
        <v>215</v>
      </c>
      <c r="H2" s="206" t="s">
        <v>232</v>
      </c>
      <c r="I2" s="206" t="s">
        <v>229</v>
      </c>
      <c r="J2" s="206" t="s">
        <v>230</v>
      </c>
      <c r="K2" s="121"/>
      <c r="L2" s="121"/>
      <c r="M2" s="121"/>
      <c r="N2" s="121"/>
    </row>
    <row r="3" spans="1:14">
      <c r="A3" s="208">
        <v>2016</v>
      </c>
      <c r="B3" s="185">
        <v>1.6</v>
      </c>
      <c r="C3" s="34">
        <v>0.2</v>
      </c>
      <c r="D3" s="185">
        <v>0</v>
      </c>
      <c r="E3" s="185">
        <f>SUM(B3:D3)</f>
        <v>1.8</v>
      </c>
      <c r="F3" s="187">
        <v>2587.94</v>
      </c>
      <c r="G3" s="189">
        <v>8536.26</v>
      </c>
      <c r="H3" s="189">
        <f t="shared" ref="H3:H10" si="0">F3+G3</f>
        <v>11124.2</v>
      </c>
      <c r="I3" s="209">
        <f>F3/H3*100</f>
        <v>23.264054943276818</v>
      </c>
      <c r="J3" s="209">
        <f>G3/H3*100</f>
        <v>76.735945056723182</v>
      </c>
      <c r="K3" s="121"/>
      <c r="L3" s="121"/>
      <c r="M3" s="121"/>
      <c r="N3" s="121"/>
    </row>
    <row r="4" spans="1:14">
      <c r="A4" s="208">
        <v>2017</v>
      </c>
      <c r="B4" s="185">
        <v>1.6</v>
      </c>
      <c r="C4" s="34">
        <v>0.3</v>
      </c>
      <c r="D4" s="185">
        <v>0</v>
      </c>
      <c r="E4" s="185">
        <f t="shared" ref="E4:E10" si="1">SUM(B4:D4)</f>
        <v>1.9000000000000001</v>
      </c>
      <c r="F4" s="187">
        <v>2607.9899999999998</v>
      </c>
      <c r="G4" s="189">
        <v>9260.86</v>
      </c>
      <c r="H4" s="189">
        <f t="shared" si="0"/>
        <v>11868.85</v>
      </c>
      <c r="I4" s="209">
        <f t="shared" ref="I4:I10" si="2">F4/H4*100</f>
        <v>21.973400961339976</v>
      </c>
      <c r="J4" s="209">
        <f t="shared" ref="J4:J10" si="3">G4/H4*100</f>
        <v>78.026599038660024</v>
      </c>
      <c r="K4" s="121"/>
      <c r="L4" s="121"/>
      <c r="M4" s="121"/>
      <c r="N4" s="121"/>
    </row>
    <row r="5" spans="1:14">
      <c r="A5" s="208">
        <v>2018</v>
      </c>
      <c r="B5" s="185">
        <v>1.9</v>
      </c>
      <c r="C5" s="34">
        <v>0.3</v>
      </c>
      <c r="D5" s="185">
        <v>0</v>
      </c>
      <c r="E5" s="185">
        <f t="shared" si="1"/>
        <v>2.1999999999999997</v>
      </c>
      <c r="F5" s="187">
        <v>2944.48</v>
      </c>
      <c r="G5" s="189">
        <v>11016.05</v>
      </c>
      <c r="H5" s="189">
        <f t="shared" si="0"/>
        <v>13960.529999999999</v>
      </c>
      <c r="I5" s="209">
        <f t="shared" si="2"/>
        <v>21.091462859934403</v>
      </c>
      <c r="J5" s="209">
        <f t="shared" si="3"/>
        <v>78.908537140065604</v>
      </c>
      <c r="K5" s="121"/>
      <c r="L5" s="121"/>
      <c r="M5" s="121"/>
      <c r="N5" s="121"/>
    </row>
    <row r="6" spans="1:14">
      <c r="A6" s="208">
        <v>2019</v>
      </c>
      <c r="B6" s="185">
        <v>1.7</v>
      </c>
      <c r="C6" s="34">
        <v>0.5</v>
      </c>
      <c r="D6" s="185">
        <v>0</v>
      </c>
      <c r="E6" s="185">
        <f t="shared" si="1"/>
        <v>2.2000000000000002</v>
      </c>
      <c r="F6" s="187">
        <v>2457.88</v>
      </c>
      <c r="G6" s="189">
        <v>10324.530000000001</v>
      </c>
      <c r="H6" s="189">
        <f t="shared" si="0"/>
        <v>12782.41</v>
      </c>
      <c r="I6" s="209">
        <f t="shared" si="2"/>
        <v>19.228611818898003</v>
      </c>
      <c r="J6" s="209">
        <f t="shared" si="3"/>
        <v>80.771388181101997</v>
      </c>
      <c r="K6" s="121"/>
      <c r="L6" s="121"/>
      <c r="M6" s="121"/>
      <c r="N6" s="121"/>
    </row>
    <row r="7" spans="1:14">
      <c r="A7" s="208">
        <v>2020</v>
      </c>
      <c r="B7" s="185">
        <v>1.8</v>
      </c>
      <c r="C7" s="34">
        <v>0.5</v>
      </c>
      <c r="D7" s="185">
        <v>0</v>
      </c>
      <c r="E7" s="185">
        <f t="shared" si="1"/>
        <v>2.2999999999999998</v>
      </c>
      <c r="F7" s="187">
        <v>2242.88</v>
      </c>
      <c r="G7" s="189">
        <v>11186.54</v>
      </c>
      <c r="H7" s="189">
        <f t="shared" si="0"/>
        <v>13429.420000000002</v>
      </c>
      <c r="I7" s="209">
        <f t="shared" si="2"/>
        <v>16.701242495952915</v>
      </c>
      <c r="J7" s="209">
        <f t="shared" si="3"/>
        <v>83.298757504047089</v>
      </c>
      <c r="K7" s="121"/>
      <c r="L7" s="121"/>
      <c r="M7" s="121"/>
      <c r="N7" s="121"/>
    </row>
    <row r="8" spans="1:14">
      <c r="A8" s="208">
        <v>2021</v>
      </c>
      <c r="B8" s="185">
        <v>1.7</v>
      </c>
      <c r="C8" s="34">
        <v>0.9</v>
      </c>
      <c r="D8" s="185">
        <v>0.1</v>
      </c>
      <c r="E8" s="185">
        <f t="shared" si="1"/>
        <v>2.7</v>
      </c>
      <c r="F8" s="187">
        <v>6094.94</v>
      </c>
      <c r="G8" s="189">
        <v>13064.73</v>
      </c>
      <c r="H8" s="189">
        <f t="shared" si="0"/>
        <v>19159.669999999998</v>
      </c>
      <c r="I8" s="209">
        <f t="shared" si="2"/>
        <v>31.811299463926051</v>
      </c>
      <c r="J8" s="209">
        <f t="shared" si="3"/>
        <v>68.188700536073952</v>
      </c>
      <c r="K8" s="121"/>
      <c r="L8" s="121"/>
      <c r="M8" s="121"/>
      <c r="N8" s="121"/>
    </row>
    <row r="9" spans="1:14">
      <c r="A9" s="208">
        <v>2022</v>
      </c>
      <c r="B9" s="185">
        <v>1.6</v>
      </c>
      <c r="C9" s="34">
        <v>1.5</v>
      </c>
      <c r="D9" s="185">
        <v>0.2</v>
      </c>
      <c r="E9" s="185">
        <f t="shared" si="1"/>
        <v>3.3000000000000003</v>
      </c>
      <c r="F9" s="187">
        <v>7878.04</v>
      </c>
      <c r="G9" s="189">
        <v>15430.56</v>
      </c>
      <c r="H9" s="189">
        <f t="shared" si="0"/>
        <v>23308.6</v>
      </c>
      <c r="I9" s="209">
        <f t="shared" si="2"/>
        <v>33.79885535810817</v>
      </c>
      <c r="J9" s="209">
        <f t="shared" si="3"/>
        <v>66.201144641891844</v>
      </c>
      <c r="K9" s="121"/>
      <c r="L9" s="121"/>
      <c r="M9" s="121"/>
      <c r="N9" s="121"/>
    </row>
    <row r="10" spans="1:14">
      <c r="A10" s="208">
        <v>2023</v>
      </c>
      <c r="B10" s="185">
        <v>1.7</v>
      </c>
      <c r="C10" s="34">
        <v>2.6</v>
      </c>
      <c r="D10" s="185">
        <v>0.3</v>
      </c>
      <c r="E10" s="185">
        <f t="shared" si="1"/>
        <v>4.5999999999999996</v>
      </c>
      <c r="F10" s="187">
        <v>11864.87</v>
      </c>
      <c r="G10" s="189">
        <v>20294.310000000001</v>
      </c>
      <c r="H10" s="189">
        <f t="shared" si="0"/>
        <v>32159.18</v>
      </c>
      <c r="I10" s="209">
        <f t="shared" si="2"/>
        <v>36.894193197712134</v>
      </c>
      <c r="J10" s="209">
        <f t="shared" si="3"/>
        <v>63.10580680228788</v>
      </c>
      <c r="K10" s="121"/>
      <c r="L10" s="121"/>
      <c r="M10" s="121"/>
      <c r="N10" s="121"/>
    </row>
    <row r="11" spans="1:14">
      <c r="A11" s="135"/>
      <c r="B11" s="189"/>
      <c r="C11" s="189"/>
      <c r="D11" s="189"/>
      <c r="E11" s="189"/>
      <c r="F11" s="173"/>
      <c r="G11" s="173"/>
      <c r="H11" s="173"/>
      <c r="I11" s="121"/>
      <c r="J11" s="121"/>
      <c r="K11" s="121"/>
      <c r="L11" s="121"/>
      <c r="M11" s="121"/>
      <c r="N11" s="121"/>
    </row>
    <row r="12" spans="1:14">
      <c r="F12" s="251"/>
      <c r="G12" s="251"/>
      <c r="H12" s="266"/>
    </row>
    <row r="13" spans="1:14">
      <c r="F13" s="263"/>
      <c r="G13" s="263"/>
    </row>
    <row r="14" spans="1:14">
      <c r="F14" s="263"/>
      <c r="G14" s="263"/>
    </row>
    <row r="15" spans="1:14">
      <c r="F15" s="263"/>
      <c r="G15" s="263"/>
    </row>
    <row r="16" spans="1:14">
      <c r="F16" s="263"/>
      <c r="G16" s="263"/>
    </row>
    <row r="17" spans="2:8">
      <c r="F17" s="263"/>
      <c r="G17" s="263"/>
    </row>
    <row r="18" spans="2:8">
      <c r="F18" s="263"/>
      <c r="G18" s="263"/>
    </row>
    <row r="19" spans="2:8">
      <c r="F19" s="263"/>
      <c r="G19" s="263"/>
    </row>
    <row r="20" spans="2:8">
      <c r="F20" s="263"/>
      <c r="G20" s="263"/>
    </row>
    <row r="21" spans="2:8">
      <c r="B21" s="34"/>
    </row>
    <row r="22" spans="2:8">
      <c r="B22" s="34"/>
    </row>
    <row r="23" spans="2:8">
      <c r="B23" s="34"/>
    </row>
    <row r="24" spans="2:8">
      <c r="B24" s="34"/>
    </row>
    <row r="25" spans="2:8">
      <c r="B25" s="34"/>
    </row>
    <row r="26" spans="2:8">
      <c r="B26" s="34"/>
    </row>
    <row r="27" spans="2:8">
      <c r="B27" s="34"/>
    </row>
    <row r="28" spans="2:8">
      <c r="B28" s="34"/>
    </row>
    <row r="29" spans="2:8">
      <c r="B29" s="34"/>
      <c r="F29" s="251"/>
      <c r="G29" s="251"/>
      <c r="H29" s="25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99A2-D668-4C63-8A83-6831CEF7D4C3}">
  <dimension ref="A1:I24"/>
  <sheetViews>
    <sheetView zoomScaleNormal="100" workbookViewId="0"/>
  </sheetViews>
  <sheetFormatPr defaultRowHeight="13.2"/>
  <cols>
    <col min="1" max="1" width="11.33203125" customWidth="1"/>
    <col min="2" max="2" width="12.6640625" bestFit="1" customWidth="1"/>
    <col min="6" max="6" width="8.88671875" style="83"/>
    <col min="7" max="7" width="12" bestFit="1" customWidth="1"/>
  </cols>
  <sheetData>
    <row r="1" spans="1:9">
      <c r="A1" s="175"/>
      <c r="B1" s="177" t="s">
        <v>75</v>
      </c>
      <c r="C1" s="176"/>
      <c r="D1" s="176"/>
      <c r="E1" s="178"/>
      <c r="F1" s="178"/>
      <c r="G1" s="121"/>
      <c r="H1" s="121"/>
      <c r="I1" s="121"/>
    </row>
    <row r="2" spans="1:9" ht="79.2">
      <c r="A2" s="179" t="s">
        <v>246</v>
      </c>
      <c r="B2" s="181" t="s">
        <v>196</v>
      </c>
      <c r="C2" s="182" t="s">
        <v>212</v>
      </c>
      <c r="D2" s="183" t="s">
        <v>216</v>
      </c>
      <c r="E2" s="183" t="s">
        <v>213</v>
      </c>
      <c r="F2" s="183" t="s">
        <v>217</v>
      </c>
      <c r="G2" s="121"/>
      <c r="H2" s="121"/>
      <c r="I2" s="121"/>
    </row>
    <row r="3" spans="1:9">
      <c r="A3" s="184">
        <v>2016</v>
      </c>
      <c r="B3" s="186">
        <v>331.86</v>
      </c>
      <c r="C3" s="187">
        <v>1967.5</v>
      </c>
      <c r="D3" s="188">
        <v>219.66999999999996</v>
      </c>
      <c r="E3" s="188">
        <v>68.91</v>
      </c>
      <c r="F3" s="188">
        <f>SUM(B3:E3)</f>
        <v>2587.94</v>
      </c>
      <c r="G3" s="121"/>
      <c r="H3" s="189"/>
      <c r="I3" s="121"/>
    </row>
    <row r="4" spans="1:9">
      <c r="A4" s="184">
        <v>2017</v>
      </c>
      <c r="B4" s="186">
        <v>343.96</v>
      </c>
      <c r="C4" s="187">
        <v>2061.9500000000003</v>
      </c>
      <c r="D4" s="188">
        <v>157.96</v>
      </c>
      <c r="E4" s="188">
        <v>44.12</v>
      </c>
      <c r="F4" s="188">
        <f t="shared" ref="F4:F10" si="0">SUM(B4:E4)</f>
        <v>2607.9900000000002</v>
      </c>
      <c r="G4" s="121"/>
      <c r="H4" s="189"/>
      <c r="I4" s="121"/>
    </row>
    <row r="5" spans="1:9">
      <c r="A5" s="184">
        <v>2018</v>
      </c>
      <c r="B5" s="186">
        <v>484.09</v>
      </c>
      <c r="C5" s="187">
        <v>2286.0500000000002</v>
      </c>
      <c r="D5" s="188">
        <v>132.91</v>
      </c>
      <c r="E5" s="188">
        <v>41.43</v>
      </c>
      <c r="F5" s="188">
        <f t="shared" si="0"/>
        <v>2944.48</v>
      </c>
      <c r="G5" s="121"/>
      <c r="H5" s="189"/>
      <c r="I5" s="121"/>
    </row>
    <row r="6" spans="1:9">
      <c r="A6" s="184">
        <v>2019</v>
      </c>
      <c r="B6" s="186">
        <v>292.41000000000003</v>
      </c>
      <c r="C6" s="187">
        <v>1981.58</v>
      </c>
      <c r="D6" s="188">
        <v>163.41999999999999</v>
      </c>
      <c r="E6" s="188">
        <v>20.47</v>
      </c>
      <c r="F6" s="188">
        <f t="shared" si="0"/>
        <v>2457.8799999999997</v>
      </c>
      <c r="G6" s="121"/>
      <c r="H6" s="189"/>
      <c r="I6" s="121"/>
    </row>
    <row r="7" spans="1:9">
      <c r="A7" s="184">
        <v>2020</v>
      </c>
      <c r="B7" s="186">
        <v>368</v>
      </c>
      <c r="C7" s="187">
        <v>1664.88</v>
      </c>
      <c r="D7" s="188">
        <v>173</v>
      </c>
      <c r="E7" s="188">
        <v>37</v>
      </c>
      <c r="F7" s="188">
        <f t="shared" si="0"/>
        <v>2242.88</v>
      </c>
      <c r="G7" s="121"/>
      <c r="H7" s="189"/>
      <c r="I7" s="121"/>
    </row>
    <row r="8" spans="1:9">
      <c r="A8" s="184">
        <v>2021</v>
      </c>
      <c r="B8" s="186">
        <v>1621.3770000000002</v>
      </c>
      <c r="C8" s="187">
        <v>4086.71</v>
      </c>
      <c r="D8" s="188">
        <v>308.19954900000005</v>
      </c>
      <c r="E8" s="188">
        <v>78.649000000000001</v>
      </c>
      <c r="F8" s="188">
        <f t="shared" si="0"/>
        <v>6094.9355490000007</v>
      </c>
      <c r="G8" s="121"/>
      <c r="H8" s="189"/>
      <c r="I8" s="121"/>
    </row>
    <row r="9" spans="1:9">
      <c r="A9" s="184">
        <v>2022</v>
      </c>
      <c r="B9" s="186">
        <v>1981.5650000000001</v>
      </c>
      <c r="C9" s="187">
        <v>5673.0730000000003</v>
      </c>
      <c r="D9" s="188">
        <v>161.572</v>
      </c>
      <c r="E9" s="188">
        <v>61.83</v>
      </c>
      <c r="F9" s="188">
        <f t="shared" si="0"/>
        <v>7878.0400000000009</v>
      </c>
      <c r="G9" s="121"/>
      <c r="H9" s="189"/>
      <c r="I9" s="121"/>
    </row>
    <row r="10" spans="1:9">
      <c r="A10" s="190">
        <v>2023</v>
      </c>
      <c r="B10" s="191">
        <v>4197.6939999999995</v>
      </c>
      <c r="C10" s="192">
        <v>7414.1386970380008</v>
      </c>
      <c r="D10" s="193">
        <v>169.17600000000002</v>
      </c>
      <c r="E10" s="193">
        <v>83.860081000000008</v>
      </c>
      <c r="F10" s="265">
        <f t="shared" si="0"/>
        <v>11864.868778038001</v>
      </c>
      <c r="G10" s="121"/>
      <c r="H10" s="189"/>
      <c r="I10" s="121"/>
    </row>
    <row r="11" spans="1:9">
      <c r="A11" s="135"/>
      <c r="B11" s="189"/>
      <c r="C11" s="189"/>
      <c r="D11" s="189"/>
      <c r="E11" s="189"/>
      <c r="F11" s="121"/>
      <c r="G11" s="121"/>
      <c r="H11" s="121"/>
      <c r="I11" s="121"/>
    </row>
    <row r="12" spans="1:9">
      <c r="A12" s="194"/>
      <c r="B12" s="121"/>
      <c r="C12" s="189"/>
      <c r="D12" s="189"/>
      <c r="E12" s="189"/>
      <c r="F12" s="189"/>
      <c r="G12" s="121"/>
      <c r="H12" s="121"/>
      <c r="I12" s="121"/>
    </row>
    <row r="13" spans="1:9">
      <c r="A13" s="248"/>
      <c r="B13" s="246"/>
      <c r="C13" s="247"/>
      <c r="D13" s="185"/>
      <c r="E13" s="185"/>
      <c r="F13" s="266"/>
      <c r="G13" s="121"/>
      <c r="H13" s="121"/>
      <c r="I13" s="121"/>
    </row>
    <row r="14" spans="1:9">
      <c r="A14" s="247"/>
      <c r="B14" s="249"/>
      <c r="C14" s="198"/>
      <c r="D14" s="250"/>
      <c r="E14" s="250"/>
      <c r="F14" s="267"/>
      <c r="G14" s="121"/>
      <c r="H14" s="121"/>
      <c r="I14" s="121"/>
    </row>
    <row r="15" spans="1:9">
      <c r="A15" s="247"/>
      <c r="B15" s="249"/>
      <c r="C15" s="121"/>
      <c r="D15" s="121"/>
      <c r="E15" s="121"/>
      <c r="F15" s="121"/>
      <c r="G15" s="121"/>
      <c r="H15" s="121"/>
      <c r="I15" s="121"/>
    </row>
    <row r="16" spans="1:9">
      <c r="A16" s="247"/>
      <c r="B16" s="249"/>
      <c r="C16" s="121"/>
      <c r="D16" s="121"/>
      <c r="E16" s="121"/>
      <c r="F16" s="121"/>
      <c r="G16" s="121"/>
      <c r="H16" s="121"/>
      <c r="I16" s="121"/>
    </row>
    <row r="17" spans="1:9">
      <c r="A17" s="247"/>
      <c r="B17" s="249"/>
      <c r="C17" s="121"/>
      <c r="D17" s="121"/>
      <c r="E17" s="121"/>
      <c r="F17" s="121"/>
      <c r="G17" s="121"/>
      <c r="H17" s="121"/>
      <c r="I17" s="121"/>
    </row>
    <row r="18" spans="1:9">
      <c r="A18" s="247"/>
      <c r="B18" s="121"/>
      <c r="C18" s="121"/>
      <c r="D18" s="121"/>
      <c r="E18" s="121"/>
      <c r="F18" s="121"/>
      <c r="G18" s="121"/>
      <c r="H18" s="121"/>
      <c r="I18" s="121"/>
    </row>
    <row r="19" spans="1:9">
      <c r="A19" s="247"/>
      <c r="B19" s="121"/>
      <c r="C19" s="121"/>
      <c r="D19" s="121"/>
      <c r="E19" s="121"/>
      <c r="F19" s="121"/>
      <c r="G19" s="121"/>
      <c r="H19" s="121"/>
      <c r="I19" s="121"/>
    </row>
    <row r="20" spans="1:9">
      <c r="A20" s="247"/>
      <c r="B20" s="121"/>
      <c r="C20" s="121"/>
      <c r="D20" s="121"/>
      <c r="E20" s="121"/>
      <c r="F20" s="121"/>
      <c r="G20" s="121"/>
      <c r="H20" s="121"/>
      <c r="I20" s="121"/>
    </row>
    <row r="21" spans="1:9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9">
      <c r="A22" s="121"/>
      <c r="B22" s="121"/>
      <c r="C22" s="121"/>
      <c r="D22" s="121"/>
      <c r="E22" s="121"/>
      <c r="F22" s="121"/>
      <c r="G22" s="121"/>
      <c r="H22" s="121"/>
      <c r="I22" s="121"/>
    </row>
    <row r="23" spans="1:9">
      <c r="A23" s="121"/>
      <c r="B23" s="121"/>
      <c r="C23" s="121"/>
      <c r="D23" s="121"/>
      <c r="E23" s="121"/>
      <c r="F23" s="121"/>
      <c r="G23" s="121"/>
      <c r="H23" s="121"/>
      <c r="I23" s="121"/>
    </row>
    <row r="24" spans="1:9">
      <c r="A24" s="121"/>
      <c r="B24" s="121"/>
      <c r="C24" s="121"/>
      <c r="D24" s="121"/>
      <c r="E24" s="121"/>
      <c r="F24" s="121"/>
      <c r="G24" s="121"/>
      <c r="H24" s="121"/>
      <c r="I24" s="121"/>
    </row>
  </sheetData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C48B-67BF-4661-96B2-28D0159A9431}">
  <dimension ref="A1:H19"/>
  <sheetViews>
    <sheetView workbookViewId="0"/>
  </sheetViews>
  <sheetFormatPr defaultColWidth="8.88671875" defaultRowHeight="13.2"/>
  <cols>
    <col min="1" max="1" width="12.6640625" style="121" customWidth="1"/>
    <col min="2" max="3" width="13.88671875" style="121" bestFit="1" customWidth="1"/>
    <col min="4" max="4" width="19.5546875" style="121" bestFit="1" customWidth="1"/>
    <col min="5" max="6" width="13.88671875" style="121" bestFit="1" customWidth="1"/>
    <col min="7" max="8" width="15.44140625" style="121" bestFit="1" customWidth="1"/>
    <col min="9" max="9" width="11" style="121" bestFit="1" customWidth="1"/>
    <col min="10" max="16384" width="8.88671875" style="121"/>
  </cols>
  <sheetData>
    <row r="1" spans="1:8" ht="39.6">
      <c r="A1" s="179" t="s">
        <v>234</v>
      </c>
      <c r="B1" s="231" t="s">
        <v>239</v>
      </c>
      <c r="C1" s="231" t="s">
        <v>240</v>
      </c>
      <c r="D1" s="231" t="s">
        <v>226</v>
      </c>
      <c r="E1" s="231" t="s">
        <v>213</v>
      </c>
      <c r="F1" s="231" t="s">
        <v>241</v>
      </c>
      <c r="G1" s="229"/>
      <c r="H1" s="230"/>
    </row>
    <row r="2" spans="1:8">
      <c r="A2" s="225">
        <v>2016</v>
      </c>
      <c r="B2" s="226">
        <v>173.684593302</v>
      </c>
      <c r="C2" s="226">
        <v>53.158899749999996</v>
      </c>
      <c r="D2" s="226">
        <v>49.753643697999998</v>
      </c>
      <c r="E2" s="226">
        <v>11.649653003999997</v>
      </c>
      <c r="F2" s="226">
        <f t="shared" ref="F2:F9" si="0">SUM(B2:E2)</f>
        <v>288.24678975400002</v>
      </c>
      <c r="G2" s="160"/>
      <c r="H2" s="144"/>
    </row>
    <row r="3" spans="1:8">
      <c r="A3" s="225">
        <v>2017</v>
      </c>
      <c r="B3" s="226">
        <v>219.81781003599997</v>
      </c>
      <c r="C3" s="226">
        <v>46.720968425999992</v>
      </c>
      <c r="D3" s="226">
        <v>83.687375199999991</v>
      </c>
      <c r="E3" s="226">
        <v>17.098591796000001</v>
      </c>
      <c r="F3" s="226">
        <f t="shared" si="0"/>
        <v>367.324745458</v>
      </c>
      <c r="G3" s="160"/>
      <c r="H3" s="144"/>
    </row>
    <row r="4" spans="1:8">
      <c r="A4" s="227">
        <v>2018</v>
      </c>
      <c r="B4" s="226">
        <v>306.70651393799994</v>
      </c>
      <c r="C4" s="226">
        <v>63.810521279999996</v>
      </c>
      <c r="D4" s="226">
        <v>136.88110794600001</v>
      </c>
      <c r="E4" s="226">
        <v>16.415159595999999</v>
      </c>
      <c r="F4" s="226">
        <f t="shared" si="0"/>
        <v>523.81330275999994</v>
      </c>
      <c r="G4" s="160"/>
      <c r="H4" s="144"/>
    </row>
    <row r="5" spans="1:8">
      <c r="A5" s="227">
        <v>2019</v>
      </c>
      <c r="B5" s="226">
        <v>423.12081165199993</v>
      </c>
      <c r="C5" s="226">
        <v>46.394243741999993</v>
      </c>
      <c r="D5" s="226">
        <v>191.762697764</v>
      </c>
      <c r="E5" s="226">
        <v>21.427804089999999</v>
      </c>
      <c r="F5" s="226">
        <f t="shared" si="0"/>
        <v>682.70555724799999</v>
      </c>
      <c r="G5" s="160"/>
      <c r="H5" s="144"/>
    </row>
    <row r="6" spans="1:8">
      <c r="A6" s="227">
        <v>2020</v>
      </c>
      <c r="B6" s="226">
        <v>535.8009240099999</v>
      </c>
      <c r="C6" s="226">
        <v>39.288312558000001</v>
      </c>
      <c r="D6" s="226">
        <v>181.77598962599998</v>
      </c>
      <c r="E6" s="226">
        <v>16.243640159999998</v>
      </c>
      <c r="F6" s="226">
        <f t="shared" si="0"/>
        <v>773.10886635399993</v>
      </c>
      <c r="G6" s="160"/>
      <c r="H6" s="144"/>
    </row>
    <row r="7" spans="1:8">
      <c r="A7" s="227">
        <v>2021</v>
      </c>
      <c r="B7" s="226">
        <v>732.81194014599987</v>
      </c>
      <c r="C7" s="226">
        <v>49.94037501199999</v>
      </c>
      <c r="D7" s="226">
        <v>283.65390490799996</v>
      </c>
      <c r="E7" s="226">
        <v>19.715255274</v>
      </c>
      <c r="F7" s="226">
        <f t="shared" si="0"/>
        <v>1086.1214753399997</v>
      </c>
      <c r="G7" s="160"/>
      <c r="H7" s="144"/>
    </row>
    <row r="8" spans="1:8">
      <c r="A8" s="227">
        <v>2022</v>
      </c>
      <c r="B8" s="226">
        <v>1221.320678688</v>
      </c>
      <c r="C8" s="226">
        <v>77.679344775999994</v>
      </c>
      <c r="D8" s="226">
        <v>870.74773829999992</v>
      </c>
      <c r="E8" s="226">
        <v>38.302406493999996</v>
      </c>
      <c r="F8" s="226">
        <f t="shared" si="0"/>
        <v>2208.0501682580002</v>
      </c>
      <c r="G8" s="160"/>
      <c r="H8" s="144"/>
    </row>
    <row r="9" spans="1:8">
      <c r="A9" s="228">
        <v>2023</v>
      </c>
      <c r="B9" s="226">
        <v>1731.2607487119997</v>
      </c>
      <c r="C9" s="226">
        <v>121.97721535999999</v>
      </c>
      <c r="D9" s="226">
        <v>3019.5952615399997</v>
      </c>
      <c r="E9" s="226">
        <v>40.850947214000001</v>
      </c>
      <c r="F9" s="226">
        <f t="shared" si="0"/>
        <v>4913.6841728259997</v>
      </c>
      <c r="G9" s="160"/>
      <c r="H9" s="144"/>
    </row>
    <row r="10" spans="1:8" ht="14.4">
      <c r="A10" s="142"/>
      <c r="B10" s="159"/>
      <c r="C10" s="160"/>
      <c r="D10" s="160"/>
      <c r="E10" s="160"/>
      <c r="F10" s="160"/>
      <c r="G10" s="160"/>
      <c r="H10" s="160"/>
    </row>
    <row r="12" spans="1:8">
      <c r="A12" s="142"/>
      <c r="B12" s="143"/>
      <c r="C12" s="143"/>
      <c r="D12" s="143"/>
      <c r="E12" s="143"/>
      <c r="F12" s="143"/>
      <c r="G12" s="143"/>
      <c r="H12" s="143"/>
    </row>
    <row r="13" spans="1:8">
      <c r="A13" s="142"/>
      <c r="B13" s="143"/>
      <c r="C13" s="143"/>
      <c r="D13" s="143"/>
      <c r="E13" s="143"/>
      <c r="F13" s="143"/>
      <c r="G13" s="143"/>
      <c r="H13" s="143"/>
    </row>
    <row r="14" spans="1:8">
      <c r="A14" s="142"/>
      <c r="B14" s="143"/>
      <c r="C14" s="143"/>
      <c r="D14" s="143"/>
      <c r="E14" s="143"/>
      <c r="F14" s="143"/>
      <c r="G14" s="143"/>
      <c r="H14" s="143"/>
    </row>
    <row r="15" spans="1:8">
      <c r="A15" s="142"/>
      <c r="B15" s="143"/>
      <c r="C15" s="143"/>
      <c r="D15" s="143"/>
      <c r="E15" s="143"/>
      <c r="F15" s="143"/>
      <c r="G15" s="143"/>
      <c r="H15" s="143"/>
    </row>
    <row r="16" spans="1:8">
      <c r="A16" s="142"/>
      <c r="B16" s="143"/>
      <c r="C16" s="143"/>
      <c r="D16" s="143"/>
      <c r="E16" s="143"/>
      <c r="F16" s="143"/>
      <c r="G16" s="143"/>
      <c r="H16" s="143"/>
    </row>
    <row r="17" spans="1:8">
      <c r="A17" s="142"/>
      <c r="B17" s="143"/>
      <c r="C17" s="143"/>
      <c r="D17" s="143"/>
      <c r="E17" s="143"/>
      <c r="F17" s="143"/>
      <c r="G17" s="143"/>
      <c r="H17" s="143"/>
    </row>
    <row r="18" spans="1:8">
      <c r="A18" s="142"/>
      <c r="B18" s="143"/>
      <c r="C18" s="143"/>
      <c r="D18" s="143"/>
      <c r="E18" s="143"/>
      <c r="F18" s="143"/>
      <c r="G18" s="143"/>
      <c r="H18" s="143"/>
    </row>
    <row r="19" spans="1:8">
      <c r="A19" s="142"/>
      <c r="B19" s="143"/>
      <c r="C19" s="143"/>
      <c r="D19" s="143"/>
      <c r="E19" s="143"/>
      <c r="F19" s="143"/>
      <c r="G19" s="143"/>
      <c r="H19" s="14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CCE3-E1E3-49ED-8D01-01511A92E6B1}">
  <dimension ref="A1:L73"/>
  <sheetViews>
    <sheetView workbookViewId="0"/>
  </sheetViews>
  <sheetFormatPr defaultColWidth="8.88671875" defaultRowHeight="13.2"/>
  <cols>
    <col min="1" max="1" width="12.6640625" style="121" customWidth="1"/>
    <col min="2" max="3" width="13.88671875" style="121" bestFit="1" customWidth="1"/>
    <col min="4" max="4" width="19.5546875" style="121" bestFit="1" customWidth="1"/>
    <col min="5" max="5" width="13.88671875" style="121" bestFit="1" customWidth="1"/>
    <col min="6" max="6" width="13.88671875" style="121" customWidth="1"/>
    <col min="7" max="8" width="15.44140625" style="121" bestFit="1" customWidth="1"/>
    <col min="9" max="9" width="11" style="121" bestFit="1" customWidth="1"/>
    <col min="10" max="16384" width="8.88671875" style="121"/>
  </cols>
  <sheetData>
    <row r="1" spans="1:8" ht="39.6">
      <c r="A1" s="156" t="s">
        <v>235</v>
      </c>
      <c r="B1" s="196" t="s">
        <v>218</v>
      </c>
      <c r="C1" s="196" t="s">
        <v>219</v>
      </c>
      <c r="D1" s="196" t="s">
        <v>222</v>
      </c>
      <c r="E1" s="196" t="s">
        <v>223</v>
      </c>
      <c r="F1" s="196" t="s">
        <v>224</v>
      </c>
      <c r="G1" s="196" t="s">
        <v>220</v>
      </c>
      <c r="H1" s="197" t="s">
        <v>221</v>
      </c>
    </row>
    <row r="2" spans="1:8">
      <c r="A2" s="158">
        <v>44583</v>
      </c>
      <c r="B2" s="144">
        <v>8.8102429799999999</v>
      </c>
      <c r="C2" s="144">
        <v>34.238540299999997</v>
      </c>
      <c r="D2" s="144">
        <v>0</v>
      </c>
      <c r="E2" s="144">
        <v>0.32672171999999999</v>
      </c>
      <c r="F2" s="144">
        <v>8.4462635199999987</v>
      </c>
      <c r="G2" s="160">
        <v>1.8452502</v>
      </c>
      <c r="H2" s="144">
        <v>53.667018720000002</v>
      </c>
    </row>
    <row r="3" spans="1:8">
      <c r="A3" s="158">
        <v>44615</v>
      </c>
      <c r="B3" s="144">
        <v>0</v>
      </c>
      <c r="C3" s="144">
        <v>26.209166639999996</v>
      </c>
      <c r="D3" s="144">
        <v>0</v>
      </c>
      <c r="E3" s="144">
        <v>0</v>
      </c>
      <c r="F3" s="144">
        <v>0</v>
      </c>
      <c r="G3" s="160">
        <v>0.63514526000000082</v>
      </c>
      <c r="H3" s="144">
        <v>26.844311899999997</v>
      </c>
    </row>
    <row r="4" spans="1:8">
      <c r="A4" s="158">
        <v>44647</v>
      </c>
      <c r="B4" s="144">
        <v>0</v>
      </c>
      <c r="C4" s="144">
        <v>42.074129620000001</v>
      </c>
      <c r="D4" s="144">
        <v>0</v>
      </c>
      <c r="E4" s="144">
        <v>0</v>
      </c>
      <c r="F4" s="144">
        <v>0</v>
      </c>
      <c r="G4" s="160">
        <v>6.0251717999999999</v>
      </c>
      <c r="H4" s="144">
        <v>48.099301420000003</v>
      </c>
    </row>
    <row r="5" spans="1:8">
      <c r="A5" s="158">
        <v>44679</v>
      </c>
      <c r="B5" s="144">
        <v>9.0143889399999999</v>
      </c>
      <c r="C5" s="144">
        <v>30.541205639999998</v>
      </c>
      <c r="D5" s="144">
        <v>9.0388599999999986E-2</v>
      </c>
      <c r="E5" s="144">
        <v>0</v>
      </c>
      <c r="F5" s="144">
        <v>0</v>
      </c>
      <c r="G5" s="160">
        <v>5.3177156600000046</v>
      </c>
      <c r="H5" s="144">
        <v>44.963698840000006</v>
      </c>
    </row>
    <row r="6" spans="1:8">
      <c r="A6" s="158">
        <v>44711</v>
      </c>
      <c r="B6" s="144">
        <v>0</v>
      </c>
      <c r="C6" s="144">
        <v>54.795773920000002</v>
      </c>
      <c r="D6" s="144">
        <v>0</v>
      </c>
      <c r="E6" s="144">
        <v>0</v>
      </c>
      <c r="F6" s="144">
        <v>0</v>
      </c>
      <c r="G6" s="160">
        <v>7.7862062799999983</v>
      </c>
      <c r="H6" s="144">
        <v>62.581980199999997</v>
      </c>
    </row>
    <row r="7" spans="1:8">
      <c r="A7" s="158">
        <v>44713</v>
      </c>
      <c r="B7" s="144">
        <v>21.2402187</v>
      </c>
      <c r="C7" s="144">
        <v>56.852445259999996</v>
      </c>
      <c r="D7" s="144">
        <v>0</v>
      </c>
      <c r="E7" s="144">
        <v>0</v>
      </c>
      <c r="F7" s="144">
        <v>0</v>
      </c>
      <c r="G7" s="160">
        <v>2.0207363599999968</v>
      </c>
      <c r="H7" s="144">
        <v>80.113400319999997</v>
      </c>
    </row>
    <row r="8" spans="1:8">
      <c r="A8" s="158">
        <v>44743</v>
      </c>
      <c r="B8" s="144">
        <v>0</v>
      </c>
      <c r="C8" s="144">
        <v>46.867370940000001</v>
      </c>
      <c r="D8" s="144">
        <v>0</v>
      </c>
      <c r="E8" s="144">
        <v>0</v>
      </c>
      <c r="F8" s="144">
        <v>0</v>
      </c>
      <c r="G8" s="160">
        <v>4.1468525999999999</v>
      </c>
      <c r="H8" s="144">
        <v>51.014223539999996</v>
      </c>
    </row>
    <row r="9" spans="1:8">
      <c r="A9" s="158">
        <v>44775</v>
      </c>
      <c r="B9" s="144">
        <v>56.486922579999998</v>
      </c>
      <c r="C9" s="144">
        <v>45.285570440000001</v>
      </c>
      <c r="D9" s="144">
        <v>0</v>
      </c>
      <c r="E9" s="144">
        <v>0</v>
      </c>
      <c r="F9" s="144">
        <v>0</v>
      </c>
      <c r="G9" s="160">
        <v>6.6325390999999998</v>
      </c>
      <c r="H9" s="144">
        <v>108.40503211999999</v>
      </c>
    </row>
    <row r="10" spans="1:8">
      <c r="A10" s="158">
        <v>44807</v>
      </c>
      <c r="B10" s="144">
        <v>2.5255897599999999</v>
      </c>
      <c r="C10" s="144">
        <v>33.400792299999999</v>
      </c>
      <c r="D10" s="144">
        <v>0</v>
      </c>
      <c r="E10" s="144">
        <v>0</v>
      </c>
      <c r="F10" s="144">
        <v>0</v>
      </c>
      <c r="G10" s="160">
        <v>2.4164620600000006</v>
      </c>
      <c r="H10" s="144">
        <v>38.342844119999995</v>
      </c>
    </row>
    <row r="11" spans="1:8">
      <c r="A11" s="158">
        <v>44839</v>
      </c>
      <c r="B11" s="144">
        <v>56.677840939999996</v>
      </c>
      <c r="C11" s="144">
        <v>39.954627180000003</v>
      </c>
      <c r="D11" s="144">
        <v>0</v>
      </c>
      <c r="E11" s="144">
        <v>0</v>
      </c>
      <c r="F11" s="144">
        <v>37.513253140000003</v>
      </c>
      <c r="G11" s="160">
        <v>4.0507320400000024</v>
      </c>
      <c r="H11" s="144">
        <v>138.19645329999997</v>
      </c>
    </row>
    <row r="12" spans="1:8">
      <c r="A12" s="158">
        <v>44871</v>
      </c>
      <c r="B12" s="144">
        <v>23.750155800000002</v>
      </c>
      <c r="C12" s="144">
        <v>54.945466259999996</v>
      </c>
      <c r="D12" s="144">
        <v>1.2786679999999998E-2</v>
      </c>
      <c r="E12" s="144">
        <v>0</v>
      </c>
      <c r="F12" s="144">
        <v>10.64667478</v>
      </c>
      <c r="G12" s="160">
        <v>13.039768079999991</v>
      </c>
      <c r="H12" s="144">
        <v>102.3948516</v>
      </c>
    </row>
    <row r="13" spans="1:8">
      <c r="A13" s="158">
        <v>44903</v>
      </c>
      <c r="B13" s="144">
        <v>34.77469902</v>
      </c>
      <c r="C13" s="144">
        <v>46.608550899999997</v>
      </c>
      <c r="D13" s="144">
        <v>0</v>
      </c>
      <c r="E13" s="144">
        <v>6.7573194599999997</v>
      </c>
      <c r="F13" s="144">
        <v>20.112345340000001</v>
      </c>
      <c r="G13" s="160">
        <v>7.8640286600000122</v>
      </c>
      <c r="H13" s="144">
        <v>116.11694338</v>
      </c>
    </row>
    <row r="14" spans="1:8">
      <c r="A14" s="158">
        <v>44935</v>
      </c>
      <c r="B14">
        <v>0</v>
      </c>
      <c r="C14" s="86">
        <v>43.616908699999996</v>
      </c>
      <c r="D14" s="86">
        <v>83.178235239999992</v>
      </c>
      <c r="E14">
        <v>0.56790496000000013</v>
      </c>
      <c r="F14">
        <v>0</v>
      </c>
      <c r="G14" s="160">
        <v>12.718337400000001</v>
      </c>
      <c r="H14" s="86">
        <v>140.08138629999999</v>
      </c>
    </row>
    <row r="15" spans="1:8">
      <c r="A15" s="158">
        <v>44967</v>
      </c>
      <c r="B15" s="86">
        <v>15.846885260000001</v>
      </c>
      <c r="C15" s="86">
        <v>32.396597</v>
      </c>
      <c r="D15" s="86">
        <v>90.261394580000001</v>
      </c>
      <c r="E15" s="86">
        <v>21.525714399999998</v>
      </c>
      <c r="F15" s="86">
        <v>22.893668699999999</v>
      </c>
      <c r="G15" s="160">
        <v>21.088101300000002</v>
      </c>
      <c r="H15" s="86">
        <v>204.01236123999999</v>
      </c>
    </row>
    <row r="16" spans="1:8">
      <c r="A16" s="158">
        <v>44999</v>
      </c>
      <c r="B16" s="86">
        <v>16.818452480000001</v>
      </c>
      <c r="C16" s="86">
        <v>47.873550379999998</v>
      </c>
      <c r="D16" s="86">
        <v>114.17138387999999</v>
      </c>
      <c r="E16" s="86">
        <v>15.937935239999998</v>
      </c>
      <c r="F16" s="86">
        <v>25.8797994</v>
      </c>
      <c r="G16" s="160">
        <v>5.6801519000000322</v>
      </c>
      <c r="H16" s="86">
        <v>226.36127328000001</v>
      </c>
    </row>
    <row r="17" spans="1:8">
      <c r="A17" s="158">
        <v>45031</v>
      </c>
      <c r="B17" s="86">
        <v>46.973853119999994</v>
      </c>
      <c r="C17" s="86">
        <v>44.006241059999994</v>
      </c>
      <c r="D17">
        <v>0</v>
      </c>
      <c r="E17" s="86">
        <v>25.221946759999998</v>
      </c>
      <c r="F17" s="86">
        <v>6.6140204599999999</v>
      </c>
      <c r="G17" s="160">
        <v>14.053663619999993</v>
      </c>
      <c r="H17" s="86">
        <v>136.86972501999998</v>
      </c>
    </row>
    <row r="18" spans="1:8">
      <c r="A18" s="158">
        <v>45063</v>
      </c>
      <c r="B18" s="86">
        <v>4.7405513800000003</v>
      </c>
      <c r="C18" s="86">
        <v>81.690130239999988</v>
      </c>
      <c r="D18" s="86">
        <v>137.64706697999998</v>
      </c>
      <c r="E18" s="86">
        <v>16.135026480000001</v>
      </c>
      <c r="F18" s="86">
        <v>15.170513980000001</v>
      </c>
      <c r="G18" s="160">
        <v>17.580582700000001</v>
      </c>
      <c r="H18" s="86">
        <v>272.96387176000002</v>
      </c>
    </row>
    <row r="19" spans="1:8">
      <c r="A19" s="158">
        <v>45095</v>
      </c>
      <c r="B19" s="86">
        <v>10.15196254</v>
      </c>
      <c r="C19" s="86">
        <v>42.4506753</v>
      </c>
      <c r="D19" s="86">
        <v>70.60209454000001</v>
      </c>
      <c r="E19" s="86">
        <v>6.3318316599999989</v>
      </c>
      <c r="F19" s="86">
        <v>31.733453319999999</v>
      </c>
      <c r="G19" s="160">
        <v>37.251126199999995</v>
      </c>
      <c r="H19" s="86">
        <v>198.52114356000001</v>
      </c>
    </row>
    <row r="20" spans="1:8">
      <c r="A20" s="158">
        <v>45127</v>
      </c>
      <c r="B20">
        <v>0</v>
      </c>
      <c r="C20" s="86">
        <v>35.482375619999999</v>
      </c>
      <c r="D20" s="86">
        <v>59.040069840000001</v>
      </c>
      <c r="E20" s="86">
        <v>15.715711560000001</v>
      </c>
      <c r="F20">
        <v>0</v>
      </c>
      <c r="G20" s="160">
        <v>12.189674319999993</v>
      </c>
      <c r="H20" s="86">
        <v>122.42783134</v>
      </c>
    </row>
    <row r="21" spans="1:8">
      <c r="A21" s="158">
        <v>45159</v>
      </c>
      <c r="B21">
        <v>0</v>
      </c>
      <c r="C21" s="86">
        <v>53.938184519999993</v>
      </c>
      <c r="D21" s="86">
        <v>167.70127647999999</v>
      </c>
      <c r="E21" s="86">
        <v>13.097308139999999</v>
      </c>
      <c r="F21">
        <v>0</v>
      </c>
      <c r="G21" s="160">
        <v>52.131073899999997</v>
      </c>
      <c r="H21" s="86">
        <v>286.86784303999997</v>
      </c>
    </row>
    <row r="22" spans="1:8">
      <c r="A22" s="158">
        <v>45191</v>
      </c>
      <c r="B22" s="86">
        <v>48.187926340000004</v>
      </c>
      <c r="C22" s="86">
        <v>38.764143179999998</v>
      </c>
      <c r="D22" s="86">
        <v>218.81911622000001</v>
      </c>
      <c r="E22">
        <v>1.1042841399999999</v>
      </c>
      <c r="F22" s="86">
        <v>10.171583480000001</v>
      </c>
      <c r="G22" s="160">
        <v>65.879841340000041</v>
      </c>
      <c r="H22" s="86">
        <v>382.92689469999999</v>
      </c>
    </row>
    <row r="23" spans="1:8">
      <c r="A23" s="158">
        <v>45223</v>
      </c>
      <c r="B23" s="86">
        <v>33.493826420000005</v>
      </c>
      <c r="C23" s="86">
        <v>69.612890519999993</v>
      </c>
      <c r="D23" s="86">
        <v>175.15965873999997</v>
      </c>
      <c r="E23" s="86">
        <v>31.269825939999997</v>
      </c>
      <c r="F23" s="86">
        <v>41.799877379999998</v>
      </c>
      <c r="G23" s="160">
        <v>63.208747980000034</v>
      </c>
      <c r="H23" s="86">
        <v>414.54482697999998</v>
      </c>
    </row>
    <row r="24" spans="1:8">
      <c r="A24" s="158">
        <v>45255</v>
      </c>
      <c r="B24">
        <v>0</v>
      </c>
      <c r="C24" s="86">
        <v>57.249052799999994</v>
      </c>
      <c r="D24" s="86">
        <v>144.80893054000001</v>
      </c>
      <c r="E24" s="86">
        <v>31.760349439999999</v>
      </c>
      <c r="F24">
        <v>0</v>
      </c>
      <c r="G24" s="160">
        <v>7.1834686400000196</v>
      </c>
      <c r="H24" s="86">
        <v>241.00180141999999</v>
      </c>
    </row>
    <row r="25" spans="1:8">
      <c r="A25" s="158">
        <v>45287</v>
      </c>
      <c r="B25" s="86">
        <v>28.009663460000002</v>
      </c>
      <c r="C25" s="86">
        <v>44.46876614</v>
      </c>
      <c r="D25" s="86">
        <v>254.50144906</v>
      </c>
      <c r="E25" s="86">
        <v>11.3580992</v>
      </c>
      <c r="F25">
        <v>0</v>
      </c>
      <c r="G25" s="160">
        <v>54.650711239999985</v>
      </c>
      <c r="H25" s="86">
        <v>392.98868909999999</v>
      </c>
    </row>
    <row r="26" spans="1:8">
      <c r="A26" s="158">
        <v>45319</v>
      </c>
      <c r="B26">
        <v>0</v>
      </c>
      <c r="C26" s="86">
        <v>63.310159579999997</v>
      </c>
      <c r="D26" s="86">
        <v>361.51141030000002</v>
      </c>
      <c r="E26">
        <v>0</v>
      </c>
      <c r="F26">
        <v>0</v>
      </c>
      <c r="G26" s="160">
        <v>109.78643448000004</v>
      </c>
      <c r="H26" s="86">
        <v>534.60800436</v>
      </c>
    </row>
    <row r="27" spans="1:8">
      <c r="A27" s="158">
        <v>45351</v>
      </c>
      <c r="B27" s="86">
        <v>4.7963277599999996</v>
      </c>
      <c r="C27" s="86">
        <v>35.371484239999994</v>
      </c>
      <c r="D27">
        <v>0</v>
      </c>
      <c r="E27">
        <v>1.7619163200000001</v>
      </c>
      <c r="F27" s="86">
        <v>36.097679479999996</v>
      </c>
      <c r="G27" s="160">
        <v>79.000959160000008</v>
      </c>
      <c r="H27" s="86">
        <v>157.02836696</v>
      </c>
    </row>
    <row r="28" spans="1:8">
      <c r="A28" s="158">
        <v>45352</v>
      </c>
      <c r="B28" s="86">
        <v>21.675186279999998</v>
      </c>
      <c r="C28" s="86">
        <v>40.788847820000001</v>
      </c>
      <c r="D28" s="86">
        <v>396.54823626000001</v>
      </c>
      <c r="E28" s="86">
        <v>14.198726299999999</v>
      </c>
      <c r="F28" s="86">
        <v>19.155769399999997</v>
      </c>
      <c r="G28" s="160">
        <v>93.721514280000036</v>
      </c>
      <c r="H28" s="86">
        <v>586.08828033999998</v>
      </c>
    </row>
    <row r="29" spans="1:8">
      <c r="A29" s="158">
        <v>45384</v>
      </c>
      <c r="B29">
        <v>2.31483E-2</v>
      </c>
      <c r="C29" s="86">
        <v>62.154949179999996</v>
      </c>
      <c r="D29" s="86">
        <v>102.76412209999999</v>
      </c>
      <c r="E29" s="86">
        <v>8.4824189599999986</v>
      </c>
      <c r="F29">
        <v>0</v>
      </c>
      <c r="G29" s="160">
        <v>101.17835332</v>
      </c>
      <c r="H29" s="86">
        <v>274.60299186000003</v>
      </c>
    </row>
    <row r="30" spans="1:8">
      <c r="A30" s="158">
        <v>45436</v>
      </c>
      <c r="B30">
        <v>0</v>
      </c>
      <c r="C30" s="86">
        <v>32.234999819999999</v>
      </c>
      <c r="D30" s="86">
        <v>175.41406958000002</v>
      </c>
      <c r="E30">
        <v>0</v>
      </c>
      <c r="F30">
        <v>0</v>
      </c>
      <c r="G30" s="160">
        <v>99.818556039999976</v>
      </c>
      <c r="H30" s="86">
        <v>307.46762544000001</v>
      </c>
    </row>
    <row r="31" spans="1:8" ht="14.4">
      <c r="A31" s="158"/>
      <c r="B31" s="159"/>
      <c r="C31" s="160"/>
      <c r="D31" s="160"/>
      <c r="E31" s="160"/>
      <c r="F31" s="160"/>
      <c r="G31" s="160"/>
      <c r="H31" s="160"/>
    </row>
    <row r="32" spans="1:8" ht="14.4">
      <c r="A32" s="142"/>
      <c r="B32" s="159"/>
      <c r="C32" s="159"/>
      <c r="D32" s="159"/>
      <c r="E32" s="159"/>
      <c r="F32" s="159"/>
      <c r="G32" s="159"/>
      <c r="H32" s="159"/>
    </row>
    <row r="34" spans="1:9">
      <c r="A34" s="158"/>
      <c r="B34" s="143"/>
      <c r="C34" s="143"/>
      <c r="D34" s="143"/>
      <c r="E34" s="143"/>
      <c r="F34" s="143"/>
      <c r="G34" s="143"/>
      <c r="H34" s="143"/>
    </row>
    <row r="35" spans="1:9">
      <c r="A35" s="158"/>
      <c r="B35" s="143"/>
      <c r="C35" s="143"/>
      <c r="D35" s="143"/>
      <c r="E35" s="143"/>
      <c r="F35" s="143"/>
      <c r="G35" s="143"/>
      <c r="H35" s="143"/>
    </row>
    <row r="36" spans="1:9">
      <c r="A36" s="158"/>
      <c r="B36" s="143"/>
      <c r="C36" s="143"/>
      <c r="D36" s="143"/>
      <c r="E36" s="143"/>
      <c r="F36" s="143"/>
      <c r="G36" s="143"/>
      <c r="H36" s="143"/>
    </row>
    <row r="37" spans="1:9">
      <c r="A37" s="158"/>
      <c r="B37" s="143"/>
      <c r="C37" s="143"/>
      <c r="D37" s="143"/>
      <c r="E37" s="143"/>
      <c r="F37" s="143"/>
      <c r="G37" s="143"/>
      <c r="H37" s="143"/>
    </row>
    <row r="38" spans="1:9">
      <c r="A38" s="158"/>
      <c r="B38" s="143"/>
      <c r="C38" s="143"/>
      <c r="D38" s="143"/>
      <c r="E38" s="143"/>
      <c r="F38" s="143"/>
      <c r="G38" s="143"/>
      <c r="H38" s="143"/>
    </row>
    <row r="39" spans="1:9">
      <c r="A39" s="158"/>
      <c r="B39" s="143"/>
      <c r="C39" s="143"/>
      <c r="D39" s="143"/>
      <c r="E39" s="143"/>
      <c r="F39" s="143"/>
      <c r="G39" s="143"/>
      <c r="H39" s="143"/>
    </row>
    <row r="40" spans="1:9">
      <c r="A40" s="158"/>
      <c r="B40" s="143"/>
      <c r="C40" s="143"/>
      <c r="D40" s="143"/>
      <c r="E40" s="143"/>
      <c r="F40" s="143"/>
      <c r="G40" s="143"/>
      <c r="H40" s="143"/>
    </row>
    <row r="41" spans="1:9">
      <c r="A41" s="158"/>
      <c r="B41" s="143"/>
      <c r="C41" s="143"/>
      <c r="D41" s="143"/>
      <c r="E41" s="143"/>
      <c r="F41" s="143"/>
      <c r="G41" s="143"/>
      <c r="H41" s="143"/>
    </row>
    <row r="42" spans="1:9">
      <c r="A42" s="158"/>
      <c r="B42" s="143"/>
      <c r="C42" s="143"/>
      <c r="D42" s="143"/>
      <c r="E42" s="143"/>
      <c r="F42" s="143"/>
      <c r="G42" s="143"/>
      <c r="H42" s="143"/>
    </row>
    <row r="43" spans="1:9">
      <c r="A43" s="158"/>
      <c r="B43" s="143"/>
      <c r="C43" s="143"/>
      <c r="D43" s="143"/>
      <c r="E43" s="143"/>
      <c r="F43" s="143"/>
      <c r="G43" s="143"/>
      <c r="H43" s="143"/>
    </row>
    <row r="44" spans="1:9">
      <c r="A44" s="158"/>
      <c r="B44" s="143"/>
      <c r="C44" s="143"/>
      <c r="D44" s="143"/>
      <c r="E44" s="143"/>
      <c r="F44" s="143"/>
      <c r="G44" s="143"/>
      <c r="H44" s="143"/>
    </row>
    <row r="45" spans="1:9">
      <c r="A45" s="158"/>
      <c r="B45" s="143"/>
      <c r="C45" s="143"/>
      <c r="D45" s="143"/>
      <c r="E45" s="143"/>
      <c r="F45" s="143"/>
      <c r="G45" s="143"/>
      <c r="H45" s="143"/>
    </row>
    <row r="46" spans="1:9">
      <c r="A46" s="158"/>
      <c r="B46" s="143"/>
      <c r="C46" s="143"/>
      <c r="D46" s="143"/>
      <c r="E46" s="143"/>
      <c r="F46" s="143"/>
      <c r="G46" s="143"/>
      <c r="H46" s="143"/>
    </row>
    <row r="47" spans="1:9">
      <c r="A47" s="158"/>
      <c r="B47" s="143"/>
      <c r="C47" s="143"/>
      <c r="D47" s="143"/>
      <c r="E47" s="143"/>
      <c r="F47" s="143"/>
      <c r="G47" s="143"/>
      <c r="H47" s="143"/>
    </row>
    <row r="48" spans="1:9">
      <c r="A48" s="158"/>
      <c r="B48" s="143"/>
      <c r="C48" s="143"/>
      <c r="D48" s="143"/>
      <c r="E48" s="143"/>
      <c r="F48" s="143"/>
      <c r="G48" s="143"/>
      <c r="H48" s="143"/>
      <c r="I48" s="143"/>
    </row>
    <row r="49" spans="1:12">
      <c r="A49" s="158"/>
      <c r="B49" s="143"/>
      <c r="C49" s="143"/>
      <c r="D49" s="143"/>
      <c r="E49" s="143"/>
      <c r="F49" s="143"/>
      <c r="G49" s="143"/>
      <c r="H49" s="143"/>
      <c r="I49" s="143"/>
      <c r="L49" s="143"/>
    </row>
    <row r="50" spans="1:12">
      <c r="A50" s="158"/>
      <c r="B50" s="143"/>
      <c r="C50" s="143"/>
      <c r="D50" s="143"/>
      <c r="E50" s="143"/>
      <c r="F50" s="143"/>
      <c r="G50" s="143"/>
      <c r="H50" s="143"/>
    </row>
    <row r="51" spans="1:12">
      <c r="A51" s="158"/>
      <c r="B51" s="143"/>
      <c r="C51" s="143"/>
      <c r="D51" s="143"/>
      <c r="E51" s="143"/>
      <c r="F51" s="143"/>
      <c r="G51" s="143"/>
      <c r="H51" s="143"/>
    </row>
    <row r="52" spans="1:12">
      <c r="A52" s="158"/>
      <c r="B52" s="143"/>
      <c r="C52" s="143"/>
      <c r="D52" s="143"/>
      <c r="E52" s="143"/>
      <c r="F52" s="143"/>
      <c r="G52" s="143"/>
      <c r="H52" s="143"/>
    </row>
    <row r="53" spans="1:12">
      <c r="A53" s="158"/>
      <c r="B53" s="143"/>
      <c r="C53" s="143"/>
      <c r="D53" s="143"/>
      <c r="E53" s="143"/>
      <c r="F53" s="143"/>
      <c r="G53" s="143"/>
      <c r="H53" s="143"/>
    </row>
    <row r="54" spans="1:12">
      <c r="A54" s="158"/>
      <c r="B54" s="143"/>
      <c r="C54" s="143"/>
      <c r="D54" s="143"/>
      <c r="E54" s="143"/>
      <c r="F54" s="143"/>
      <c r="G54" s="143"/>
      <c r="H54" s="143"/>
    </row>
    <row r="55" spans="1:12">
      <c r="A55" s="158"/>
      <c r="B55" s="143"/>
      <c r="C55" s="143"/>
      <c r="D55" s="143"/>
      <c r="E55" s="143"/>
      <c r="F55" s="143"/>
      <c r="G55" s="143"/>
      <c r="H55" s="143"/>
    </row>
    <row r="56" spans="1:12">
      <c r="A56" s="158"/>
      <c r="B56" s="143"/>
      <c r="C56" s="143"/>
      <c r="D56" s="143"/>
      <c r="E56" s="143"/>
      <c r="F56" s="143"/>
      <c r="G56" s="143"/>
      <c r="H56" s="143"/>
    </row>
    <row r="57" spans="1:12">
      <c r="A57" s="158"/>
      <c r="B57" s="143"/>
      <c r="C57" s="143"/>
      <c r="D57" s="143"/>
      <c r="E57" s="143"/>
      <c r="F57" s="143"/>
      <c r="G57" s="143"/>
      <c r="H57" s="143"/>
    </row>
    <row r="58" spans="1:12">
      <c r="A58" s="158"/>
      <c r="B58" s="143"/>
      <c r="C58" s="143"/>
      <c r="D58" s="143"/>
      <c r="E58" s="143"/>
      <c r="F58" s="143"/>
      <c r="G58" s="143"/>
      <c r="H58" s="143"/>
    </row>
    <row r="59" spans="1:12">
      <c r="A59" s="158"/>
      <c r="B59" s="143"/>
      <c r="C59" s="143"/>
      <c r="D59" s="143"/>
      <c r="E59" s="143"/>
      <c r="F59" s="143"/>
      <c r="G59" s="143"/>
      <c r="H59" s="143"/>
    </row>
    <row r="60" spans="1:12">
      <c r="A60" s="158"/>
      <c r="B60" s="143"/>
      <c r="C60" s="143"/>
      <c r="D60" s="143"/>
      <c r="E60" s="143"/>
      <c r="F60" s="143"/>
      <c r="G60" s="143"/>
      <c r="H60" s="143"/>
    </row>
    <row r="61" spans="1:12">
      <c r="A61" s="158"/>
      <c r="B61" s="143"/>
      <c r="C61" s="143"/>
      <c r="D61" s="143"/>
      <c r="E61" s="143"/>
      <c r="F61" s="143"/>
      <c r="G61" s="143"/>
      <c r="H61" s="143"/>
      <c r="I61" s="143"/>
      <c r="J61" s="143"/>
    </row>
    <row r="62" spans="1:12">
      <c r="A62" s="158"/>
      <c r="B62" s="143"/>
      <c r="C62" s="143"/>
      <c r="D62" s="143"/>
      <c r="E62" s="143"/>
      <c r="F62" s="143"/>
      <c r="G62" s="143"/>
      <c r="H62" s="143"/>
      <c r="J62" s="195"/>
    </row>
    <row r="67" spans="1:8">
      <c r="A67" s="121">
        <v>2022</v>
      </c>
      <c r="B67" s="143">
        <f t="shared" ref="B67:H67" si="0">SUM(B34:B45)</f>
        <v>0</v>
      </c>
      <c r="C67" s="143">
        <f t="shared" si="0"/>
        <v>0</v>
      </c>
      <c r="D67" s="143">
        <f t="shared" si="0"/>
        <v>0</v>
      </c>
      <c r="E67" s="143">
        <f t="shared" si="0"/>
        <v>0</v>
      </c>
      <c r="F67" s="143">
        <f t="shared" si="0"/>
        <v>0</v>
      </c>
      <c r="G67" s="143">
        <f t="shared" si="0"/>
        <v>0</v>
      </c>
      <c r="H67" s="143">
        <f t="shared" si="0"/>
        <v>0</v>
      </c>
    </row>
    <row r="68" spans="1:8">
      <c r="A68" s="121">
        <v>2023</v>
      </c>
      <c r="B68" s="143">
        <f>SUM(B46:B57)</f>
        <v>0</v>
      </c>
      <c r="C68" s="143">
        <f t="shared" ref="C68:H68" si="1">SUM(C46:C57)</f>
        <v>0</v>
      </c>
      <c r="D68" s="143">
        <f t="shared" si="1"/>
        <v>0</v>
      </c>
      <c r="E68" s="143">
        <f t="shared" si="1"/>
        <v>0</v>
      </c>
      <c r="F68" s="143">
        <f t="shared" si="1"/>
        <v>0</v>
      </c>
      <c r="G68" s="143">
        <f t="shared" si="1"/>
        <v>0</v>
      </c>
      <c r="H68" s="143">
        <f t="shared" si="1"/>
        <v>0</v>
      </c>
    </row>
    <row r="69" spans="1:8">
      <c r="A69" s="121">
        <v>2024</v>
      </c>
      <c r="B69" s="143">
        <f>SUM(B58:B62)</f>
        <v>0</v>
      </c>
      <c r="C69" s="143">
        <f t="shared" ref="C69:F69" si="2">SUM(C58:C62)</f>
        <v>0</v>
      </c>
      <c r="D69" s="143">
        <f t="shared" si="2"/>
        <v>0</v>
      </c>
      <c r="E69" s="143">
        <f t="shared" si="2"/>
        <v>0</v>
      </c>
      <c r="F69" s="143">
        <f t="shared" si="2"/>
        <v>0</v>
      </c>
      <c r="G69" s="143">
        <f>SUM(G58:G62)</f>
        <v>0</v>
      </c>
      <c r="H69" s="143">
        <f>SUM(H58:H62)</f>
        <v>0</v>
      </c>
    </row>
    <row r="71" spans="1:8">
      <c r="B71" s="121" t="e">
        <f t="shared" ref="B71:G73" si="3">B67/$H67*100</f>
        <v>#DIV/0!</v>
      </c>
      <c r="C71" s="121" t="e">
        <f t="shared" si="3"/>
        <v>#DIV/0!</v>
      </c>
      <c r="D71" s="121" t="e">
        <f t="shared" si="3"/>
        <v>#DIV/0!</v>
      </c>
      <c r="E71" s="121" t="e">
        <f t="shared" si="3"/>
        <v>#DIV/0!</v>
      </c>
      <c r="F71" s="121" t="e">
        <f t="shared" si="3"/>
        <v>#DIV/0!</v>
      </c>
      <c r="G71" s="121" t="e">
        <f t="shared" si="3"/>
        <v>#DIV/0!</v>
      </c>
    </row>
    <row r="72" spans="1:8">
      <c r="B72" s="121" t="e">
        <f t="shared" si="3"/>
        <v>#DIV/0!</v>
      </c>
      <c r="C72" s="121" t="e">
        <f t="shared" si="3"/>
        <v>#DIV/0!</v>
      </c>
      <c r="D72" s="121" t="e">
        <f t="shared" si="3"/>
        <v>#DIV/0!</v>
      </c>
      <c r="E72" s="121" t="e">
        <f t="shared" si="3"/>
        <v>#DIV/0!</v>
      </c>
      <c r="F72" s="121" t="e">
        <f t="shared" si="3"/>
        <v>#DIV/0!</v>
      </c>
      <c r="G72" s="121" t="e">
        <f t="shared" si="3"/>
        <v>#DIV/0!</v>
      </c>
    </row>
    <row r="73" spans="1:8">
      <c r="B73" s="121" t="e">
        <f t="shared" si="3"/>
        <v>#DIV/0!</v>
      </c>
      <c r="C73" s="121" t="e">
        <f t="shared" si="3"/>
        <v>#DIV/0!</v>
      </c>
      <c r="D73" s="121" t="e">
        <f t="shared" si="3"/>
        <v>#DIV/0!</v>
      </c>
      <c r="E73" s="121" t="e">
        <f t="shared" si="3"/>
        <v>#DIV/0!</v>
      </c>
      <c r="F73" s="121" t="e">
        <f t="shared" si="3"/>
        <v>#DIV/0!</v>
      </c>
      <c r="G73" s="121" t="e">
        <f t="shared" si="3"/>
        <v>#DIV/0!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0A43-E576-4F41-B71E-51132493821A}">
  <dimension ref="A1:E5"/>
  <sheetViews>
    <sheetView workbookViewId="0"/>
  </sheetViews>
  <sheetFormatPr defaultRowHeight="13.2"/>
  <cols>
    <col min="1" max="1" width="12.44140625" bestFit="1" customWidth="1"/>
    <col min="2" max="2" width="12" bestFit="1" customWidth="1"/>
    <col min="3" max="3" width="13.88671875" bestFit="1" customWidth="1"/>
  </cols>
  <sheetData>
    <row r="1" spans="1:5" ht="39.6">
      <c r="A1" s="211" t="s">
        <v>234</v>
      </c>
      <c r="B1" s="212" t="s">
        <v>225</v>
      </c>
      <c r="C1" s="212" t="s">
        <v>226</v>
      </c>
    </row>
    <row r="2" spans="1:5">
      <c r="A2">
        <v>2021</v>
      </c>
      <c r="B2" s="198">
        <v>202.59</v>
      </c>
      <c r="C2" s="200">
        <v>106.87</v>
      </c>
      <c r="D2" s="148"/>
      <c r="E2" s="148"/>
    </row>
    <row r="3" spans="1:5">
      <c r="A3">
        <v>2022</v>
      </c>
      <c r="B3" s="198">
        <v>373.54</v>
      </c>
      <c r="C3" s="200">
        <v>236.16</v>
      </c>
      <c r="D3" s="148"/>
      <c r="E3" s="148"/>
    </row>
    <row r="4" spans="1:5">
      <c r="A4">
        <v>2023</v>
      </c>
      <c r="B4" s="198">
        <v>542.27</v>
      </c>
      <c r="C4" s="200">
        <v>980.3</v>
      </c>
      <c r="D4" s="148"/>
      <c r="E4" s="148"/>
    </row>
    <row r="5" spans="1:5">
      <c r="A5">
        <v>2024</v>
      </c>
      <c r="B5" s="198">
        <v>809.31</v>
      </c>
      <c r="C5" s="200">
        <v>1859.81</v>
      </c>
      <c r="D5" s="148"/>
      <c r="E5" s="14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documentManagement/types"/>
    <ds:schemaRef ds:uri="http://purl.org/dc/elements/1.1/"/>
    <ds:schemaRef ds:uri="7818c5c2-d41f-4dce-801c-4e3595afcb3f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49de858-f9fd-4eb6-bcba-50396646711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7</vt:i4>
      </vt:variant>
    </vt:vector>
  </HeadingPairs>
  <TitlesOfParts>
    <vt:vector size="2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1sa</vt:lpstr>
      <vt:lpstr>Figure 2sa</vt:lpstr>
      <vt:lpstr>Table 1sa</vt:lpstr>
      <vt:lpstr>Figure 3sa</vt:lpstr>
      <vt:lpstr>Figure 4sa</vt:lpstr>
      <vt:lpstr>Figure5sa</vt:lpstr>
      <vt:lpstr>Figure 6sa</vt:lpstr>
      <vt:lpstr>Figure 7sa</vt:lpstr>
      <vt:lpstr>Figure 8sa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outlook, soybeans, soybean meal, soybean oil, cottonseed, sunflowerseed, sunflowerseed oil, peanuts, canola, canola oil, supply, disappearance, price</cp:keywords>
  <dc:description/>
  <cp:lastModifiedBy>Bukowski, Maria - REE-ERS</cp:lastModifiedBy>
  <cp:revision/>
  <dcterms:created xsi:type="dcterms:W3CDTF">2001-11-13T16:22:15Z</dcterms:created>
  <dcterms:modified xsi:type="dcterms:W3CDTF">2024-07-16T13:46:38Z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