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I September 2024/"/>
    </mc:Choice>
  </mc:AlternateContent>
  <xr:revisionPtr revIDLastSave="386" documentId="13_ncr:1_{EE920F1B-B1D9-4A43-B399-90594DCA6AC6}" xr6:coauthVersionLast="47" xr6:coauthVersionMax="47" xr10:uidLastSave="{5422DA54-EBD3-4731-BD09-0565E31B835A}"/>
  <bookViews>
    <workbookView xWindow="28680" yWindow="-120" windowWidth="29040" windowHeight="1572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92" r:id="rId9"/>
    <sheet name="Figure 2" sheetId="188" r:id="rId10"/>
    <sheet name="Figure 3" sheetId="191" r:id="rId11"/>
    <sheet name="Figure 4 " sheetId="194" r:id="rId12"/>
  </sheets>
  <definedNames>
    <definedName name="_xlnm._FilterDatabase" localSheetId="9" hidden="1">'Figure 2'!$A$1:$L$1</definedName>
    <definedName name="_xlnm.Print_Area" localSheetId="1">'Table 1'!$A$1:$N$45</definedName>
    <definedName name="_xlnm.Print_Area" localSheetId="7">'Table 10'!$A$1:$G$49</definedName>
    <definedName name="_xlnm.Print_Area" localSheetId="2">'Table 2'!$A$1:$J$37</definedName>
    <definedName name="_xlnm.Print_Area" localSheetId="3">'Table 3'!$A$1:$L$50</definedName>
    <definedName name="_xlnm.Print_Area" localSheetId="5">'Table 8'!$A$1:$G$48</definedName>
    <definedName name="_xlnm.Print_Area" localSheetId="6">'Table 9'!$A$1:$I$50</definedName>
    <definedName name="_xlnm.Print_Area" localSheetId="4">'Tables 4-7'!$A$1:$O$52</definedName>
    <definedName name="WASDE_Updated" localSheetId="0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O45" i="3"/>
  <c r="J35" i="9" l="1"/>
  <c r="H35" i="2"/>
  <c r="L43" i="1"/>
  <c r="D35" i="9"/>
  <c r="D35" i="2"/>
  <c r="G43" i="1"/>
  <c r="B35" i="9" l="1"/>
  <c r="E35" i="9" s="1"/>
  <c r="K35" i="9" s="1"/>
  <c r="G35" i="9" s="1"/>
  <c r="E35" i="2"/>
  <c r="I35" i="2" s="1"/>
  <c r="G35" i="2" s="1"/>
  <c r="B35" i="2"/>
  <c r="J43" i="1"/>
  <c r="H23" i="9" l="1"/>
  <c r="H6" i="9" s="1"/>
  <c r="D8" i="1" l="1"/>
  <c r="J34" i="9" l="1"/>
  <c r="D34" i="9"/>
  <c r="H34" i="2"/>
  <c r="D34" i="2"/>
  <c r="L42" i="1"/>
  <c r="G42" i="1"/>
  <c r="B34" i="9" l="1"/>
  <c r="E34" i="9" s="1"/>
  <c r="K34" i="9" s="1"/>
  <c r="G34" i="9" s="1"/>
  <c r="I34" i="9" s="1"/>
  <c r="B34" i="2"/>
  <c r="E34" i="2" s="1"/>
  <c r="I34" i="2" s="1"/>
  <c r="G34" i="2" s="1"/>
  <c r="J42" i="1"/>
  <c r="J40" i="1"/>
  <c r="B11" i="9"/>
  <c r="E14" i="1"/>
  <c r="D15" i="9"/>
  <c r="B11" i="2" l="1"/>
  <c r="L6" i="9"/>
  <c r="B22" i="9"/>
  <c r="B26" i="9" l="1"/>
  <c r="B12" i="9"/>
  <c r="E7" i="1"/>
  <c r="E33" i="1"/>
  <c r="H20" i="2" l="1"/>
  <c r="H11" i="2"/>
  <c r="H23" i="2"/>
  <c r="L40" i="1" l="1"/>
  <c r="H33" i="2"/>
  <c r="J33" i="9"/>
  <c r="D33" i="9"/>
  <c r="D33" i="2"/>
  <c r="B33" i="2"/>
  <c r="E33" i="2" s="1"/>
  <c r="I33" i="2" s="1"/>
  <c r="G40" i="1"/>
  <c r="B33" i="9"/>
  <c r="G11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L11" i="1"/>
  <c r="H22" i="2"/>
  <c r="H28" i="2"/>
  <c r="H27" i="2"/>
  <c r="H26" i="2"/>
  <c r="H21" i="2"/>
  <c r="H19" i="2"/>
  <c r="H18" i="2"/>
  <c r="H17" i="2"/>
  <c r="H16" i="2"/>
  <c r="H15" i="2"/>
  <c r="H14" i="2"/>
  <c r="H13" i="2"/>
  <c r="H12" i="2"/>
  <c r="J28" i="9"/>
  <c r="J27" i="9"/>
  <c r="J26" i="9"/>
  <c r="J23" i="9"/>
  <c r="J22" i="9"/>
  <c r="J21" i="9"/>
  <c r="J20" i="9"/>
  <c r="J19" i="9"/>
  <c r="J18" i="9"/>
  <c r="J17" i="9"/>
  <c r="J16" i="9"/>
  <c r="J15" i="9"/>
  <c r="J14" i="9"/>
  <c r="J13" i="9"/>
  <c r="J11" i="9"/>
  <c r="D28" i="9"/>
  <c r="D26" i="9"/>
  <c r="D23" i="9"/>
  <c r="D22" i="9"/>
  <c r="D21" i="9"/>
  <c r="D20" i="9"/>
  <c r="D19" i="9"/>
  <c r="D18" i="9"/>
  <c r="D16" i="9"/>
  <c r="D12" i="9"/>
  <c r="D28" i="2"/>
  <c r="D27" i="2"/>
  <c r="D26" i="2"/>
  <c r="D23" i="2"/>
  <c r="D21" i="2"/>
  <c r="D20" i="2"/>
  <c r="D19" i="2"/>
  <c r="D18" i="2"/>
  <c r="D17" i="2"/>
  <c r="D16" i="2"/>
  <c r="D15" i="2"/>
  <c r="D14" i="2"/>
  <c r="D13" i="2"/>
  <c r="G35" i="1"/>
  <c r="G34" i="1"/>
  <c r="G32" i="1"/>
  <c r="G31" i="1"/>
  <c r="G30" i="1"/>
  <c r="G27" i="1"/>
  <c r="G6" i="1" s="1"/>
  <c r="G25" i="1"/>
  <c r="G24" i="1"/>
  <c r="G23" i="1"/>
  <c r="G21" i="1"/>
  <c r="G20" i="1"/>
  <c r="G19" i="1"/>
  <c r="G16" i="1"/>
  <c r="G15" i="1"/>
  <c r="G12" i="1"/>
  <c r="E41" i="1"/>
  <c r="D32" i="9"/>
  <c r="D32" i="2"/>
  <c r="G39" i="1"/>
  <c r="J32" i="9"/>
  <c r="H31" i="2"/>
  <c r="H32" i="2"/>
  <c r="B32" i="2"/>
  <c r="L39" i="1"/>
  <c r="L38" i="1"/>
  <c r="L41" i="1" s="1"/>
  <c r="G33" i="2" l="1"/>
  <c r="E33" i="9"/>
  <c r="K33" i="9" s="1"/>
  <c r="G33" i="9" s="1"/>
  <c r="I33" i="9" s="1"/>
  <c r="E32" i="2"/>
  <c r="I32" i="2" s="1"/>
  <c r="G32" i="2" s="1"/>
  <c r="B32" i="9"/>
  <c r="E32" i="9" s="1"/>
  <c r="K32" i="9" s="1"/>
  <c r="G32" i="9" s="1"/>
  <c r="I32" i="9" s="1"/>
  <c r="J39" i="1"/>
  <c r="J31" i="9" l="1"/>
  <c r="D31" i="9"/>
  <c r="B31" i="9"/>
  <c r="D31" i="2"/>
  <c r="B31" i="2"/>
  <c r="E31" i="2" s="1"/>
  <c r="I31" i="2" s="1"/>
  <c r="G31" i="2" s="1"/>
  <c r="J38" i="1"/>
  <c r="J41" i="1" s="1"/>
  <c r="G38" i="1"/>
  <c r="G41" i="1" s="1"/>
  <c r="H41" i="1" s="1"/>
  <c r="M41" i="1" s="1"/>
  <c r="K41" i="1" l="1"/>
  <c r="E31" i="9"/>
  <c r="K31" i="9" s="1"/>
  <c r="G31" i="9" s="1"/>
  <c r="I31" i="9" s="1"/>
  <c r="M7" i="1" l="1"/>
  <c r="D7" i="1"/>
  <c r="D6" i="1"/>
  <c r="I7" i="2"/>
  <c r="J6" i="2"/>
  <c r="G7" i="9"/>
  <c r="K7" i="9" s="1"/>
  <c r="B7" i="9"/>
  <c r="E7" i="9" s="1"/>
  <c r="H44" i="3"/>
  <c r="N44" i="3" s="1"/>
  <c r="L44" i="3" s="1"/>
  <c r="D45" i="3"/>
  <c r="D44" i="3"/>
  <c r="I32" i="3"/>
  <c r="I31" i="3"/>
  <c r="E31" i="3"/>
  <c r="I20" i="3"/>
  <c r="B20" i="3"/>
  <c r="E20" i="3" s="1"/>
  <c r="E19" i="3"/>
  <c r="G19" i="3" s="1"/>
  <c r="I19" i="3" s="1"/>
  <c r="J7" i="3"/>
  <c r="B7" i="3"/>
  <c r="E7" i="3" s="1"/>
  <c r="E6" i="3"/>
  <c r="J6" i="3" s="1"/>
  <c r="I6" i="3" s="1"/>
  <c r="L7" i="9" l="1"/>
  <c r="J31" i="3"/>
  <c r="B32" i="3" s="1"/>
  <c r="E32" i="3" s="1"/>
  <c r="J32" i="3" s="1"/>
  <c r="B7" i="2"/>
  <c r="E7" i="2" s="1"/>
  <c r="J7" i="2" s="1"/>
  <c r="J20" i="3"/>
  <c r="K7" i="3"/>
  <c r="I33" i="3" l="1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7" i="1" l="1"/>
  <c r="H37" i="1" s="1"/>
  <c r="M37" i="1" s="1"/>
  <c r="L37" i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K8" i="9" l="1"/>
  <c r="D27" i="9" l="1"/>
  <c r="J32" i="1"/>
  <c r="B27" i="2" l="1"/>
  <c r="E27" i="2" s="1"/>
  <c r="I27" i="2" s="1"/>
  <c r="G27" i="2" s="1"/>
  <c r="B27" i="9"/>
  <c r="E27" i="9" s="1"/>
  <c r="K27" i="9" s="1"/>
  <c r="G27" i="9" s="1"/>
  <c r="I27" i="9" s="1"/>
  <c r="J31" i="1" l="1"/>
  <c r="B8" i="9" l="1"/>
  <c r="J6" i="9"/>
  <c r="D6" i="9"/>
  <c r="C23" i="9"/>
  <c r="E22" i="9"/>
  <c r="K22" i="9" s="1"/>
  <c r="B21" i="9"/>
  <c r="B20" i="9"/>
  <c r="B19" i="9"/>
  <c r="B18" i="9"/>
  <c r="E18" i="9" s="1"/>
  <c r="K18" i="9" s="1"/>
  <c r="G18" i="9" s="1"/>
  <c r="I18" i="9" s="1"/>
  <c r="D17" i="9"/>
  <c r="B17" i="9"/>
  <c r="B16" i="9"/>
  <c r="B15" i="9"/>
  <c r="D14" i="9"/>
  <c r="B14" i="9"/>
  <c r="D13" i="9"/>
  <c r="B13" i="9"/>
  <c r="J12" i="9"/>
  <c r="D11" i="9"/>
  <c r="B26" i="2"/>
  <c r="E26" i="2" s="1"/>
  <c r="I26" i="2" s="1"/>
  <c r="G26" i="2" s="1"/>
  <c r="H6" i="2"/>
  <c r="D6" i="2"/>
  <c r="C23" i="2"/>
  <c r="C6" i="2" s="1"/>
  <c r="D22" i="2"/>
  <c r="B22" i="2"/>
  <c r="B21" i="2"/>
  <c r="B20" i="2"/>
  <c r="E20" i="2" s="1"/>
  <c r="I20" i="2" s="1"/>
  <c r="G20" i="2" s="1"/>
  <c r="B19" i="2"/>
  <c r="B18" i="2"/>
  <c r="B17" i="2"/>
  <c r="B16" i="2"/>
  <c r="B15" i="2"/>
  <c r="E15" i="2" s="1"/>
  <c r="I15" i="2" s="1"/>
  <c r="G15" i="2" s="1"/>
  <c r="B14" i="2"/>
  <c r="B13" i="2"/>
  <c r="D12" i="2"/>
  <c r="B12" i="2"/>
  <c r="E12" i="2" s="1"/>
  <c r="I12" i="2" s="1"/>
  <c r="G12" i="2" s="1"/>
  <c r="D11" i="2"/>
  <c r="E11" i="2" s="1"/>
  <c r="I11" i="2" s="1"/>
  <c r="E14" i="9" l="1"/>
  <c r="K14" i="9" s="1"/>
  <c r="G14" i="9" s="1"/>
  <c r="I14" i="9" s="1"/>
  <c r="C6" i="9"/>
  <c r="E23" i="9"/>
  <c r="E6" i="9" s="1"/>
  <c r="K6" i="9" s="1"/>
  <c r="G6" i="9" s="1"/>
  <c r="I6" i="9" s="1"/>
  <c r="E6" i="2"/>
  <c r="I6" i="2" s="1"/>
  <c r="E12" i="9"/>
  <c r="K12" i="9" s="1"/>
  <c r="G12" i="9" s="1"/>
  <c r="I12" i="9" s="1"/>
  <c r="E16" i="9"/>
  <c r="K16" i="9" s="1"/>
  <c r="G16" i="9" s="1"/>
  <c r="I16" i="9" s="1"/>
  <c r="E20" i="9"/>
  <c r="K20" i="9" s="1"/>
  <c r="G20" i="9" s="1"/>
  <c r="I20" i="9" s="1"/>
  <c r="E16" i="2"/>
  <c r="I16" i="2" s="1"/>
  <c r="G16" i="2" s="1"/>
  <c r="E19" i="9"/>
  <c r="K19" i="9" s="1"/>
  <c r="G19" i="9" s="1"/>
  <c r="I19" i="9" s="1"/>
  <c r="E19" i="2"/>
  <c r="I19" i="2" s="1"/>
  <c r="G19" i="2" s="1"/>
  <c r="E13" i="9"/>
  <c r="K13" i="9" s="1"/>
  <c r="G13" i="9" s="1"/>
  <c r="I13" i="9" s="1"/>
  <c r="E14" i="2"/>
  <c r="I14" i="2" s="1"/>
  <c r="G14" i="2" s="1"/>
  <c r="E18" i="2"/>
  <c r="I18" i="2" s="1"/>
  <c r="G18" i="2" s="1"/>
  <c r="E22" i="2"/>
  <c r="I22" i="2" s="1"/>
  <c r="G22" i="2" s="1"/>
  <c r="E23" i="2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E21" i="9"/>
  <c r="K21" i="9" s="1"/>
  <c r="G21" i="9" s="1"/>
  <c r="I21" i="9" s="1"/>
  <c r="E11" i="9"/>
  <c r="K11" i="9" s="1"/>
  <c r="E13" i="2"/>
  <c r="I13" i="2" s="1"/>
  <c r="G13" i="2" s="1"/>
  <c r="E17" i="2"/>
  <c r="I17" i="2" s="1"/>
  <c r="G17" i="2" s="1"/>
  <c r="E21" i="2"/>
  <c r="I21" i="2" s="1"/>
  <c r="G21" i="2" s="1"/>
  <c r="J17" i="1"/>
  <c r="B46" i="1"/>
  <c r="N46" i="3"/>
  <c r="G23" i="2" l="1"/>
  <c r="K23" i="9"/>
  <c r="G23" i="9" s="1"/>
  <c r="I23" i="9" s="1"/>
  <c r="G11" i="9"/>
  <c r="I11" i="9" s="1"/>
  <c r="I23" i="2"/>
  <c r="G6" i="2"/>
  <c r="G33" i="1" l="1"/>
  <c r="L33" i="1"/>
  <c r="H33" i="1" l="1"/>
  <c r="M33" i="1" s="1"/>
  <c r="J30" i="1"/>
  <c r="J33" i="1" s="1"/>
  <c r="K33" i="1" l="1"/>
  <c r="L6" i="1"/>
  <c r="H6" i="1"/>
  <c r="M6" i="1" s="1"/>
  <c r="J25" i="1"/>
  <c r="J24" i="1"/>
  <c r="J23" i="1"/>
  <c r="E26" i="1"/>
  <c r="J21" i="1"/>
  <c r="J20" i="1"/>
  <c r="J19" i="1"/>
  <c r="N18" i="1"/>
  <c r="E22" i="1" s="1"/>
  <c r="G17" i="1"/>
  <c r="J16" i="1"/>
  <c r="J15" i="1"/>
  <c r="N14" i="1"/>
  <c r="E18" i="1" s="1"/>
  <c r="J13" i="1"/>
  <c r="G13" i="1"/>
  <c r="J12" i="1"/>
  <c r="J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K22" i="1" s="1"/>
  <c r="J14" i="1"/>
  <c r="K14" i="1" l="1"/>
  <c r="K18" i="1"/>
  <c r="K26" i="1"/>
  <c r="J27" i="1"/>
  <c r="J6" i="1" s="1"/>
  <c r="K6" i="1" s="1"/>
  <c r="M8" i="1" l="1"/>
  <c r="I21" i="3" l="1"/>
  <c r="E26" i="9" l="1"/>
  <c r="K26" i="9" s="1"/>
  <c r="G26" i="9" s="1"/>
  <c r="I26" i="9" s="1"/>
  <c r="B51" i="6" l="1"/>
  <c r="B51" i="5"/>
  <c r="B50" i="4"/>
  <c r="B50" i="3"/>
  <c r="B38" i="9"/>
  <c r="B38" i="2"/>
  <c r="H7" i="1" l="1"/>
  <c r="N7" i="1" s="1"/>
  <c r="E8" i="1" s="1"/>
  <c r="E45" i="3"/>
  <c r="H45" i="3" s="1"/>
  <c r="N45" i="3" s="1"/>
  <c r="B21" i="3" l="1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  <c r="E46" i="3" l="1"/>
  <c r="H46" i="3"/>
  <c r="O46" i="3" s="1"/>
  <c r="L45" i="3"/>
</calcChain>
</file>

<file path=xl/sharedStrings.xml><?xml version="1.0" encoding="utf-8"?>
<sst xmlns="http://schemas.openxmlformats.org/spreadsheetml/2006/main" count="593" uniqueCount="184">
  <si>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</si>
  <si>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</si>
  <si>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</si>
  <si>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</si>
  <si>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</si>
  <si>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</si>
  <si>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</si>
  <si>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</si>
  <si>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</si>
  <si>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</si>
  <si>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</si>
  <si>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</si>
  <si>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</si>
  <si>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</si>
  <si>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</si>
  <si>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</si>
  <si>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</si>
  <si>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</si>
  <si>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</si>
  <si>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</si>
  <si>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</si>
  <si>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</si>
  <si>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</si>
  <si>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</si>
  <si>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</si>
  <si>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</si>
  <si>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</si>
  <si>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</si>
  <si>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</si>
  <si>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</si>
  <si>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</si>
  <si>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</si>
  <si>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</si>
  <si>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</si>
  <si>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</si>
  <si>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</si>
  <si>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</si>
  <si>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</si>
  <si>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</si>
  <si>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</si>
  <si>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</si>
  <si>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</si>
  <si>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</si>
  <si>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</si>
  <si>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</si>
  <si>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</si>
  <si>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</si>
  <si>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</si>
  <si>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</si>
  <si>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</si>
  <si>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</si>
  <si>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</si>
  <si>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</si>
  <si>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</si>
  <si>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</si>
  <si>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</si>
  <si>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</si>
  <si>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</si>
  <si>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</si>
  <si>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</si>
  <si>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</si>
  <si>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</si>
  <si>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</si>
  <si>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</si>
  <si>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</si>
  <si>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</si>
  <si>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</si>
  <si>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</si>
  <si>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</si>
  <si>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</si>
  <si>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</si>
  <si>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</si>
  <si>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</si>
  <si>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</si>
  <si>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</si>
  <si>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</si>
  <si>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</si>
  <si>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</si>
  <si>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</si>
  <si>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</si>
  <si>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</si>
  <si>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</si>
  <si>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</si>
  <si>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</si>
  <si>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</si>
  <si>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</si>
  <si>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</si>
  <si>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</si>
  <si>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</si>
  <si>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</si>
  <si>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</si>
  <si>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</si>
  <si>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</si>
  <si>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</si>
  <si>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</si>
  <si>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</si>
  <si>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</si>
  <si>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</si>
  <si>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</si>
  <si>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</si>
  <si>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</si>
  <si>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</si>
  <si>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</si>
  <si>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</si>
  <si>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</si>
  <si>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</si>
  <si>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</si>
  <si>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</si>
  <si>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</si>
  <si>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</si>
  <si>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</si>
  <si>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</si>
  <si>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</si>
  <si>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</si>
  <si>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</si>
  <si>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</si>
  <si>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</si>
  <si>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</si>
  <si>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</si>
  <si>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</si>
  <si>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</si>
  <si>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</si>
  <si>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</si>
  <si>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</si>
  <si>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</si>
  <si>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</si>
  <si>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</si>
  <si>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</si>
  <si>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</si>
  <si>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</si>
  <si>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</si>
  <si>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</si>
  <si>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</si>
  <si>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</si>
  <si>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</si>
  <si>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</si>
  <si>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</si>
  <si>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</si>
  <si>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</si>
  <si>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</si>
  <si>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</si>
  <si>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</si>
  <si>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</si>
  <si>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</si>
  <si>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</si>
  <si>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</si>
  <si>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</si>
  <si>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</si>
  <si>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</si>
  <si>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</si>
  <si>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</si>
  <si>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</si>
  <si>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</si>
  <si>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</si>
  <si>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r>
      <t>2024/25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</si>
  <si>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</si>
  <si>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</si>
  <si>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r>
      <t>2024/25</t>
    </r>
    <r>
      <rPr>
        <vertAlign val="superscript"/>
        <sz val="11"/>
        <rFont val="Arial"/>
        <family val="2"/>
      </rPr>
      <t>7</t>
    </r>
  </si>
  <si>
    <t xml:space="preserve"> March-May</t>
  </si>
  <si>
    <t>2021/2022</t>
  </si>
  <si>
    <t>2022/2023</t>
  </si>
  <si>
    <t>2023/2024</t>
  </si>
  <si>
    <t>Year</t>
  </si>
  <si>
    <t>2024/25*</t>
  </si>
  <si>
    <t>Domestic consumption</t>
  </si>
  <si>
    <t>Meal price</t>
  </si>
  <si>
    <t>2024/25 Aug*</t>
  </si>
  <si>
    <t>2024/25 Sep*</t>
  </si>
  <si>
    <t>Commodity</t>
  </si>
  <si>
    <t>2020/2021</t>
  </si>
  <si>
    <t>Total major oils</t>
  </si>
  <si>
    <t>EU</t>
  </si>
  <si>
    <t>Russia</t>
  </si>
  <si>
    <t>Ukraine</t>
  </si>
  <si>
    <t xml:space="preserve">ROW </t>
  </si>
  <si>
    <t>Food use</t>
  </si>
  <si>
    <t>Palm oil</t>
  </si>
  <si>
    <t>Rapeseed oil</t>
  </si>
  <si>
    <t>Soybean oil</t>
  </si>
  <si>
    <t>Sunflowerseed oil</t>
  </si>
  <si>
    <t>European Union major vegetable oil ending stocks</t>
  </si>
  <si>
    <t>2024/2025 Aug*</t>
  </si>
  <si>
    <t>2024/2025 Sep*</t>
  </si>
  <si>
    <t>Global Sunflowerseed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</si>
</sst>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7">
    <xf numFmtId="0" fontId="0" fillId="0" borderId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9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61" fillId="0" borderId="0"/>
    <xf numFmtId="0" fontId="46" fillId="0" borderId="0"/>
    <xf numFmtId="0" fontId="45" fillId="0" borderId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39" fillId="0" borderId="0"/>
    <xf numFmtId="44" fontId="47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43" fontId="34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68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9" fillId="0" borderId="8" applyNumberFormat="0" applyFont="0" applyProtection="0">
      <alignment wrapText="1"/>
    </xf>
    <xf numFmtId="43" fontId="6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/>
    <xf numFmtId="0" fontId="69" fillId="0" borderId="0" applyNumberFormat="0" applyProtection="0">
      <alignment vertical="top" wrapText="1"/>
    </xf>
    <xf numFmtId="0" fontId="69" fillId="0" borderId="9" applyNumberFormat="0" applyProtection="0">
      <alignment vertical="top" wrapText="1"/>
    </xf>
    <xf numFmtId="0" fontId="71" fillId="0" borderId="7" applyNumberFormat="0" applyProtection="0">
      <alignment wrapText="1"/>
    </xf>
    <xf numFmtId="0" fontId="71" fillId="0" borderId="10" applyNumberFormat="0" applyProtection="0">
      <alignment horizontal="left" wrapText="1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11" applyNumberFormat="0" applyProtection="0">
      <alignment wrapText="1"/>
    </xf>
    <xf numFmtId="0" fontId="69" fillId="0" borderId="12" applyNumberFormat="0" applyFont="0" applyFill="0" applyProtection="0">
      <alignment wrapText="1"/>
    </xf>
    <xf numFmtId="0" fontId="71" fillId="0" borderId="13" applyNumberFormat="0" applyFill="0" applyProtection="0">
      <alignment wrapText="1"/>
    </xf>
    <xf numFmtId="0" fontId="73" fillId="0" borderId="0" applyNumberFormat="0" applyProtection="0">
      <alignment horizontal="left"/>
    </xf>
    <xf numFmtId="0" fontId="74" fillId="0" borderId="0" applyNumberFormat="0" applyFill="0" applyBorder="0" applyAlignment="0" applyProtection="0"/>
    <xf numFmtId="0" fontId="75" fillId="0" borderId="7" applyNumberFormat="0" applyFill="0" applyAlignment="0" applyProtection="0"/>
    <xf numFmtId="0" fontId="76" fillId="0" borderId="14" applyNumberFormat="0" applyFill="0" applyAlignment="0" applyProtection="0"/>
    <xf numFmtId="0" fontId="77" fillId="0" borderId="15" applyNumberFormat="0" applyFill="0" applyAlignment="0" applyProtection="0"/>
    <xf numFmtId="0" fontId="77" fillId="0" borderId="0" applyNumberFormat="0" applyFill="0" applyBorder="0" applyAlignment="0" applyProtection="0"/>
    <xf numFmtId="0" fontId="78" fillId="3" borderId="0" applyNumberFormat="0" applyBorder="0" applyAlignment="0" applyProtection="0"/>
    <xf numFmtId="0" fontId="79" fillId="4" borderId="0" applyNumberFormat="0" applyBorder="0" applyAlignment="0" applyProtection="0"/>
    <xf numFmtId="0" fontId="80" fillId="5" borderId="0" applyNumberFormat="0" applyBorder="0" applyAlignment="0" applyProtection="0"/>
    <xf numFmtId="0" fontId="81" fillId="6" borderId="16" applyNumberFormat="0" applyAlignment="0" applyProtection="0"/>
    <xf numFmtId="0" fontId="82" fillId="7" borderId="17" applyNumberFormat="0" applyAlignment="0" applyProtection="0"/>
    <xf numFmtId="0" fontId="83" fillId="7" borderId="16" applyNumberFormat="0" applyAlignment="0" applyProtection="0"/>
    <xf numFmtId="0" fontId="84" fillId="0" borderId="18" applyNumberFormat="0" applyFill="0" applyAlignment="0" applyProtection="0"/>
    <xf numFmtId="0" fontId="85" fillId="8" borderId="19" applyNumberFormat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1" applyNumberFormat="0" applyFill="0" applyAlignment="0" applyProtection="0"/>
    <xf numFmtId="0" fontId="8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8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8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8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8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8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7" fillId="55" borderId="32" applyNumberFormat="0" applyFont="0" applyAlignment="0" applyProtection="0"/>
    <xf numFmtId="0" fontId="47" fillId="55" borderId="40" applyNumberFormat="0" applyFont="0" applyAlignment="0" applyProtection="0"/>
    <xf numFmtId="0" fontId="99" fillId="52" borderId="39" applyNumberFormat="0" applyAlignment="0" applyProtection="0"/>
    <xf numFmtId="0" fontId="5" fillId="9" borderId="20" applyNumberFormat="0" applyFont="0" applyAlignment="0" applyProtection="0"/>
    <xf numFmtId="0" fontId="99" fillId="52" borderId="31" applyNumberFormat="0" applyAlignment="0" applyProtection="0"/>
    <xf numFmtId="0" fontId="90" fillId="0" borderId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89" fillId="33" borderId="0" applyNumberFormat="0" applyBorder="0" applyAlignment="0" applyProtection="0"/>
    <xf numFmtId="43" fontId="92" fillId="0" borderId="0" applyFont="0" applyFill="0" applyBorder="0" applyAlignment="0" applyProtection="0"/>
    <xf numFmtId="0" fontId="89" fillId="29" borderId="0" applyNumberFormat="0" applyBorder="0" applyAlignment="0" applyProtection="0"/>
    <xf numFmtId="43" fontId="5" fillId="0" borderId="0" applyFont="0" applyFill="0" applyBorder="0" applyAlignment="0" applyProtection="0"/>
    <xf numFmtId="0" fontId="89" fillId="25" borderId="0" applyNumberFormat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89" fillId="21" borderId="0" applyNumberFormat="0" applyBorder="0" applyAlignment="0" applyProtection="0"/>
    <xf numFmtId="43" fontId="92" fillId="0" borderId="0" applyFont="0" applyFill="0" applyBorder="0" applyAlignment="0" applyProtection="0"/>
    <xf numFmtId="0" fontId="89" fillId="17" borderId="0" applyNumberFormat="0" applyBorder="0" applyAlignment="0" applyProtection="0"/>
    <xf numFmtId="43" fontId="92" fillId="0" borderId="0" applyFont="0" applyFill="0" applyBorder="0" applyAlignment="0" applyProtection="0"/>
    <xf numFmtId="0" fontId="89" fillId="13" borderId="0" applyNumberFormat="0" applyBorder="0" applyAlignment="0" applyProtection="0"/>
    <xf numFmtId="43" fontId="92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3" fillId="5" borderId="0" applyNumberFormat="0" applyBorder="0" applyAlignment="0" applyProtection="0"/>
    <xf numFmtId="0" fontId="90" fillId="0" borderId="0"/>
    <xf numFmtId="0" fontId="90" fillId="0" borderId="0"/>
    <xf numFmtId="0" fontId="47" fillId="0" borderId="0">
      <alignment vertical="center"/>
    </xf>
    <xf numFmtId="0" fontId="5" fillId="0" borderId="0"/>
    <xf numFmtId="0" fontId="5" fillId="9" borderId="20" applyNumberFormat="0" applyFont="0" applyAlignment="0" applyProtection="0"/>
    <xf numFmtId="0" fontId="94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95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89" fillId="21" borderId="0" applyNumberFormat="0" applyBorder="0" applyAlignment="0" applyProtection="0"/>
    <xf numFmtId="0" fontId="89" fillId="25" borderId="0" applyNumberFormat="0" applyBorder="0" applyAlignment="0" applyProtection="0"/>
    <xf numFmtId="0" fontId="89" fillId="33" borderId="0" applyNumberFormat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0" fillId="0" borderId="0"/>
    <xf numFmtId="0" fontId="95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9" fillId="21" borderId="0" applyNumberFormat="0" applyBorder="0" applyAlignment="0" applyProtection="0"/>
    <xf numFmtId="0" fontId="89" fillId="25" borderId="0" applyNumberFormat="0" applyBorder="0" applyAlignment="0" applyProtection="0"/>
    <xf numFmtId="0" fontId="89" fillId="33" borderId="0" applyNumberFormat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9" borderId="20" applyNumberFormat="0" applyFont="0" applyAlignment="0" applyProtection="0"/>
    <xf numFmtId="0" fontId="92" fillId="34" borderId="0" applyNumberFormat="0" applyBorder="0" applyAlignment="0" applyProtection="0"/>
    <xf numFmtId="0" fontId="92" fillId="35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39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2" borderId="0" applyNumberFormat="0" applyBorder="0" applyAlignment="0" applyProtection="0"/>
    <xf numFmtId="0" fontId="92" fillId="37" borderId="0" applyNumberFormat="0" applyBorder="0" applyAlignment="0" applyProtection="0"/>
    <xf numFmtId="0" fontId="92" fillId="40" borderId="0" applyNumberFormat="0" applyBorder="0" applyAlignment="0" applyProtection="0"/>
    <xf numFmtId="0" fontId="92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98" fillId="35" borderId="0" applyNumberFormat="0" applyBorder="0" applyAlignment="0" applyProtection="0"/>
    <xf numFmtId="0" fontId="99" fillId="52" borderId="22" applyNumberFormat="0" applyAlignment="0" applyProtection="0"/>
    <xf numFmtId="0" fontId="100" fillId="53" borderId="23" applyNumberFormat="0" applyAlignment="0" applyProtection="0"/>
    <xf numFmtId="43" fontId="47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36" borderId="0" applyNumberFormat="0" applyBorder="0" applyAlignment="0" applyProtection="0"/>
    <xf numFmtId="0" fontId="103" fillId="0" borderId="24" applyNumberFormat="0" applyFill="0" applyAlignment="0" applyProtection="0"/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5" fillId="0" borderId="0" applyNumberFormat="0" applyFill="0" applyBorder="0" applyAlignment="0" applyProtection="0"/>
    <xf numFmtId="0" fontId="106" fillId="39" borderId="22" applyNumberFormat="0" applyAlignment="0" applyProtection="0"/>
    <xf numFmtId="0" fontId="107" fillId="0" borderId="27" applyNumberFormat="0" applyFill="0" applyAlignment="0" applyProtection="0"/>
    <xf numFmtId="0" fontId="108" fillId="54" borderId="0" applyNumberFormat="0" applyBorder="0" applyAlignment="0" applyProtection="0"/>
    <xf numFmtId="0" fontId="47" fillId="0" borderId="0"/>
    <xf numFmtId="0" fontId="47" fillId="55" borderId="28" applyNumberFormat="0" applyFont="0" applyAlignment="0" applyProtection="0"/>
    <xf numFmtId="0" fontId="47" fillId="55" borderId="28" applyNumberFormat="0" applyFont="0" applyAlignment="0" applyProtection="0"/>
    <xf numFmtId="0" fontId="109" fillId="52" borderId="29" applyNumberFormat="0" applyAlignment="0" applyProtection="0"/>
    <xf numFmtId="9" fontId="47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0" applyNumberFormat="0" applyFill="0" applyAlignment="0" applyProtection="0"/>
    <xf numFmtId="0" fontId="112" fillId="0" borderId="0" applyNumberFormat="0" applyFill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0" fillId="0" borderId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94" fillId="0" borderId="0" applyNumberFormat="0" applyFill="0" applyBorder="0" applyAlignment="0" applyProtection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106" fillId="39" borderId="39" applyNumberFormat="0" applyAlignment="0" applyProtection="0"/>
    <xf numFmtId="0" fontId="47" fillId="55" borderId="36" applyNumberFormat="0" applyFont="0" applyAlignment="0" applyProtection="0"/>
    <xf numFmtId="0" fontId="109" fillId="52" borderId="37" applyNumberFormat="0" applyAlignment="0" applyProtection="0"/>
    <xf numFmtId="0" fontId="109" fillId="52" borderId="41" applyNumberFormat="0" applyAlignment="0" applyProtection="0"/>
    <xf numFmtId="0" fontId="111" fillId="0" borderId="42" applyNumberFormat="0" applyFill="0" applyAlignment="0" applyProtection="0"/>
    <xf numFmtId="0" fontId="111" fillId="0" borderId="34" applyNumberFormat="0" applyFill="0" applyAlignment="0" applyProtection="0"/>
    <xf numFmtId="0" fontId="47" fillId="55" borderId="40" applyNumberFormat="0" applyFont="0" applyAlignment="0" applyProtection="0"/>
    <xf numFmtId="0" fontId="99" fillId="52" borderId="35" applyNumberFormat="0" applyAlignment="0" applyProtection="0"/>
    <xf numFmtId="0" fontId="47" fillId="55" borderId="32" applyNumberFormat="0" applyFont="0" applyAlignment="0" applyProtection="0"/>
    <xf numFmtId="0" fontId="111" fillId="0" borderId="38" applyNumberFormat="0" applyFill="0" applyAlignment="0" applyProtection="0"/>
    <xf numFmtId="0" fontId="106" fillId="39" borderId="31" applyNumberFormat="0" applyAlignment="0" applyProtection="0"/>
    <xf numFmtId="0" fontId="47" fillId="55" borderId="36" applyNumberFormat="0" applyFont="0" applyAlignment="0" applyProtection="0"/>
    <xf numFmtId="0" fontId="109" fillId="52" borderId="33" applyNumberFormat="0" applyAlignment="0" applyProtection="0"/>
    <xf numFmtId="0" fontId="106" fillId="39" borderId="35" applyNumberFormat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48" fillId="0" borderId="0" xfId="8"/>
    <xf numFmtId="0" fontId="49" fillId="0" borderId="0" xfId="8" applyFont="1"/>
    <xf numFmtId="0" fontId="54" fillId="0" borderId="0" xfId="8" applyFont="1"/>
    <xf numFmtId="0" fontId="55" fillId="0" borderId="0" xfId="8" applyFont="1"/>
    <xf numFmtId="169" fontId="56" fillId="0" borderId="0" xfId="1" applyNumberFormat="1" applyFont="1" applyFill="1" applyBorder="1" applyAlignment="1">
      <alignment horizontal="center"/>
    </xf>
    <xf numFmtId="169" fontId="56" fillId="0" borderId="0" xfId="1" applyNumberFormat="1" applyFont="1" applyFill="1" applyBorder="1" applyAlignment="1">
      <alignment horizontal="right" indent="1"/>
    </xf>
    <xf numFmtId="0" fontId="62" fillId="0" borderId="0" xfId="7" applyFont="1" applyAlignment="1">
      <alignment horizontal="left"/>
    </xf>
    <xf numFmtId="0" fontId="63" fillId="0" borderId="0" xfId="5" applyFont="1" applyAlignment="1" applyProtection="1"/>
    <xf numFmtId="14" fontId="62" fillId="0" borderId="0" xfId="7" applyNumberFormat="1" applyFont="1" applyAlignment="1">
      <alignment horizontal="left"/>
    </xf>
    <xf numFmtId="0" fontId="63" fillId="0" borderId="0" xfId="4" applyFont="1" applyAlignment="1" applyProtection="1"/>
    <xf numFmtId="0" fontId="56" fillId="0" borderId="0" xfId="7" quotePrefix="1" applyFont="1" applyAlignment="1">
      <alignment horizontal="left"/>
    </xf>
    <xf numFmtId="0" fontId="56" fillId="0" borderId="0" xfId="8" applyFont="1" applyAlignment="1">
      <alignment wrapText="1"/>
    </xf>
    <xf numFmtId="169" fontId="56" fillId="0" borderId="0" xfId="1" applyNumberFormat="1" applyFont="1" applyFill="1" applyBorder="1" applyAlignment="1">
      <alignment horizontal="right"/>
    </xf>
    <xf numFmtId="0" fontId="56" fillId="0" borderId="1" xfId="0" applyFont="1" applyBorder="1"/>
    <xf numFmtId="0" fontId="56" fillId="0" borderId="0" xfId="0" applyFont="1"/>
    <xf numFmtId="0" fontId="56" fillId="0" borderId="2" xfId="0" applyFont="1" applyBorder="1" applyAlignment="1">
      <alignment horizontal="right"/>
    </xf>
    <xf numFmtId="0" fontId="56" fillId="0" borderId="0" xfId="0" applyFont="1" applyAlignment="1">
      <alignment horizontal="center"/>
    </xf>
    <xf numFmtId="0" fontId="0" fillId="0" borderId="2" xfId="0" applyBorder="1"/>
    <xf numFmtId="0" fontId="56" fillId="0" borderId="2" xfId="0" applyFont="1" applyBorder="1" applyAlignment="1">
      <alignment horizontal="left"/>
    </xf>
    <xf numFmtId="0" fontId="56" fillId="0" borderId="0" xfId="0" applyFont="1" applyAlignment="1">
      <alignment horizontal="right"/>
    </xf>
    <xf numFmtId="16" fontId="56" fillId="0" borderId="1" xfId="0" quotePrefix="1" applyNumberFormat="1" applyFont="1" applyBorder="1"/>
    <xf numFmtId="16" fontId="56" fillId="0" borderId="1" xfId="0" applyNumberFormat="1" applyFont="1" applyBorder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7" fillId="0" borderId="0" xfId="0" quotePrefix="1" applyFont="1" applyAlignment="1">
      <alignment horizontal="right"/>
    </xf>
    <xf numFmtId="164" fontId="56" fillId="0" borderId="0" xfId="1" applyNumberFormat="1" applyFont="1" applyFill="1" applyBorder="1"/>
    <xf numFmtId="164" fontId="56" fillId="0" borderId="0" xfId="1" applyNumberFormat="1" applyFont="1" applyFill="1" applyBorder="1" applyAlignment="1">
      <alignment horizontal="right"/>
    </xf>
    <xf numFmtId="0" fontId="62" fillId="0" borderId="0" xfId="0" applyFont="1"/>
    <xf numFmtId="169" fontId="56" fillId="0" borderId="0" xfId="1" quotePrefix="1" applyNumberFormat="1" applyFont="1" applyFill="1" applyBorder="1" applyAlignment="1">
      <alignment horizontal="right"/>
    </xf>
    <xf numFmtId="164" fontId="56" fillId="0" borderId="0" xfId="1" applyNumberFormat="1" applyFont="1" applyFill="1" applyBorder="1" applyAlignment="1">
      <alignment horizontal="center"/>
    </xf>
    <xf numFmtId="164" fontId="56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6" fillId="0" borderId="0" xfId="1" applyNumberFormat="1" applyFont="1" applyFill="1"/>
    <xf numFmtId="14" fontId="56" fillId="0" borderId="0" xfId="0" applyNumberFormat="1" applyFont="1" applyAlignment="1">
      <alignment horizontal="left"/>
    </xf>
    <xf numFmtId="3" fontId="56" fillId="0" borderId="0" xfId="1" applyNumberFormat="1" applyFont="1" applyFill="1" applyAlignment="1">
      <alignment horizontal="right" indent="1"/>
    </xf>
    <xf numFmtId="3" fontId="56" fillId="0" borderId="0" xfId="1" applyNumberFormat="1" applyFont="1" applyFill="1" applyAlignment="1">
      <alignment horizontal="center"/>
    </xf>
    <xf numFmtId="169" fontId="56" fillId="0" borderId="0" xfId="1" applyNumberFormat="1" applyFont="1" applyFill="1" applyBorder="1" applyAlignment="1">
      <alignment horizontal="right" indent="2"/>
    </xf>
    <xf numFmtId="0" fontId="58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6" fillId="0" borderId="1" xfId="1" applyNumberFormat="1" applyFont="1" applyFill="1" applyBorder="1" applyAlignment="1">
      <alignment horizontal="right"/>
    </xf>
    <xf numFmtId="16" fontId="56" fillId="0" borderId="0" xfId="0" applyNumberFormat="1" applyFont="1"/>
    <xf numFmtId="0" fontId="57" fillId="0" borderId="0" xfId="0" applyFont="1" applyAlignment="1">
      <alignment horizontal="center"/>
    </xf>
    <xf numFmtId="2" fontId="56" fillId="0" borderId="0" xfId="0" applyNumberFormat="1" applyFont="1" applyAlignment="1">
      <alignment horizontal="right" indent="2"/>
    </xf>
    <xf numFmtId="43" fontId="56" fillId="0" borderId="0" xfId="1" quotePrefix="1" applyFont="1" applyFill="1" applyBorder="1" applyAlignment="1">
      <alignment horizontal="center"/>
    </xf>
    <xf numFmtId="166" fontId="56" fillId="0" borderId="0" xfId="1" quotePrefix="1" applyNumberFormat="1" applyFont="1" applyFill="1" applyBorder="1" applyAlignment="1">
      <alignment horizontal="center"/>
    </xf>
    <xf numFmtId="43" fontId="56" fillId="0" borderId="0" xfId="1" applyFont="1" applyFill="1" applyBorder="1" applyAlignment="1">
      <alignment horizontal="center"/>
    </xf>
    <xf numFmtId="0" fontId="62" fillId="0" borderId="0" xfId="0" quotePrefix="1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left" indent="1"/>
    </xf>
    <xf numFmtId="0" fontId="56" fillId="0" borderId="3" xfId="0" applyFont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57" fillId="0" borderId="3" xfId="0" quotePrefix="1" applyFont="1" applyBorder="1"/>
    <xf numFmtId="0" fontId="57" fillId="0" borderId="3" xfId="0" applyFont="1" applyBorder="1"/>
    <xf numFmtId="2" fontId="56" fillId="0" borderId="0" xfId="0" applyNumberFormat="1" applyFont="1" applyAlignment="1">
      <alignment horizontal="center"/>
    </xf>
    <xf numFmtId="43" fontId="56" fillId="0" borderId="0" xfId="0" applyNumberFormat="1" applyFont="1"/>
    <xf numFmtId="0" fontId="51" fillId="0" borderId="0" xfId="0" applyFont="1"/>
    <xf numFmtId="2" fontId="0" fillId="0" borderId="0" xfId="0" applyNumberFormat="1"/>
    <xf numFmtId="165" fontId="56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0" fillId="0" borderId="0" xfId="0" applyFont="1" applyAlignment="1">
      <alignment vertical="center"/>
    </xf>
    <xf numFmtId="2" fontId="56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6" fillId="0" borderId="3" xfId="0" applyFont="1" applyBorder="1"/>
    <xf numFmtId="165" fontId="56" fillId="0" borderId="0" xfId="1" applyNumberFormat="1" applyFont="1" applyFill="1"/>
    <xf numFmtId="37" fontId="56" fillId="0" borderId="0" xfId="1" applyNumberFormat="1" applyFont="1" applyFill="1" applyBorder="1" applyAlignment="1">
      <alignment horizontal="center"/>
    </xf>
    <xf numFmtId="165" fontId="56" fillId="0" borderId="0" xfId="1" applyNumberFormat="1" applyFont="1" applyFill="1" applyBorder="1"/>
    <xf numFmtId="9" fontId="56" fillId="0" borderId="0" xfId="12" applyFont="1" applyFill="1"/>
    <xf numFmtId="0" fontId="57" fillId="0" borderId="4" xfId="0" applyFont="1" applyBorder="1" applyAlignment="1">
      <alignment horizontal="center"/>
    </xf>
    <xf numFmtId="14" fontId="56" fillId="0" borderId="0" xfId="0" applyNumberFormat="1" applyFont="1" applyAlignment="1">
      <alignment horizontal="right" inden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169" fontId="56" fillId="0" borderId="0" xfId="1" applyNumberFormat="1" applyFont="1" applyFill="1" applyAlignment="1">
      <alignment horizontal="center"/>
    </xf>
    <xf numFmtId="0" fontId="58" fillId="0" borderId="3" xfId="0" applyFont="1" applyBorder="1"/>
    <xf numFmtId="164" fontId="56" fillId="0" borderId="3" xfId="0" applyNumberFormat="1" applyFont="1" applyBorder="1"/>
    <xf numFmtId="171" fontId="0" fillId="0" borderId="0" xfId="1" applyNumberFormat="1" applyFont="1" applyFill="1" applyBorder="1"/>
    <xf numFmtId="0" fontId="47" fillId="0" borderId="0" xfId="8" applyFont="1"/>
    <xf numFmtId="0" fontId="47" fillId="0" borderId="0" xfId="0" applyFont="1"/>
    <xf numFmtId="4" fontId="65" fillId="0" borderId="0" xfId="0" applyNumberFormat="1" applyFont="1"/>
    <xf numFmtId="172" fontId="51" fillId="0" borderId="0" xfId="12" applyNumberFormat="1" applyFont="1" applyFill="1"/>
    <xf numFmtId="4" fontId="0" fillId="0" borderId="0" xfId="0" applyNumberFormat="1"/>
    <xf numFmtId="173" fontId="65" fillId="0" borderId="0" xfId="0" applyNumberFormat="1" applyFont="1"/>
    <xf numFmtId="164" fontId="56" fillId="2" borderId="0" xfId="1" applyNumberFormat="1" applyFont="1" applyFill="1" applyBorder="1" applyAlignment="1">
      <alignment horizontal="center"/>
    </xf>
    <xf numFmtId="2" fontId="64" fillId="0" borderId="0" xfId="0" applyNumberFormat="1" applyFont="1" applyAlignment="1">
      <alignment horizontal="center"/>
    </xf>
    <xf numFmtId="37" fontId="56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4" fillId="0" borderId="0" xfId="0" applyNumberFormat="1" applyFont="1" applyAlignment="1">
      <alignment horizontal="right" indent="2"/>
    </xf>
    <xf numFmtId="9" fontId="0" fillId="0" borderId="0" xfId="12" applyFont="1"/>
    <xf numFmtId="3" fontId="64" fillId="0" borderId="0" xfId="1" applyNumberFormat="1" applyFont="1" applyFill="1" applyBorder="1" applyAlignment="1">
      <alignment horizontal="right"/>
    </xf>
    <xf numFmtId="3" fontId="47" fillId="0" borderId="0" xfId="0" applyNumberFormat="1" applyFont="1"/>
    <xf numFmtId="3" fontId="56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6" fillId="0" borderId="0" xfId="1" applyNumberFormat="1" applyFont="1" applyAlignment="1">
      <alignment horizontal="right" indent="1"/>
    </xf>
    <xf numFmtId="167" fontId="56" fillId="0" borderId="0" xfId="0" applyNumberFormat="1" applyFont="1"/>
    <xf numFmtId="169" fontId="64" fillId="0" borderId="0" xfId="1" applyNumberFormat="1" applyFont="1" applyFill="1" applyBorder="1" applyAlignment="1">
      <alignment horizontal="right" indent="1"/>
    </xf>
    <xf numFmtId="0" fontId="66" fillId="0" borderId="0" xfId="0" applyFont="1"/>
    <xf numFmtId="169" fontId="56" fillId="0" borderId="0" xfId="1" applyNumberFormat="1" applyFont="1" applyFill="1" applyAlignment="1">
      <alignment horizontal="right" indent="1"/>
    </xf>
    <xf numFmtId="164" fontId="64" fillId="0" borderId="0" xfId="1" applyNumberFormat="1" applyFont="1"/>
    <xf numFmtId="169" fontId="56" fillId="2" borderId="0" xfId="1" applyNumberFormat="1" applyFont="1" applyFill="1" applyBorder="1" applyAlignment="1">
      <alignment horizontal="right" indent="2"/>
    </xf>
    <xf numFmtId="169" fontId="56" fillId="2" borderId="0" xfId="1" applyNumberFormat="1" applyFont="1" applyFill="1" applyBorder="1" applyAlignment="1">
      <alignment horizontal="right" indent="1"/>
    </xf>
    <xf numFmtId="169" fontId="67" fillId="0" borderId="0" xfId="1" applyNumberFormat="1" applyFont="1" applyFill="1" applyBorder="1" applyAlignment="1">
      <alignment horizontal="right"/>
    </xf>
    <xf numFmtId="169" fontId="64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56" fillId="0" borderId="3" xfId="0" applyNumberFormat="1" applyFont="1" applyBorder="1"/>
    <xf numFmtId="0" fontId="0" fillId="0" borderId="3" xfId="0" applyBorder="1"/>
    <xf numFmtId="168" fontId="56" fillId="0" borderId="3" xfId="0" applyNumberFormat="1" applyFont="1" applyBorder="1"/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3" xfId="0" quotePrefix="1" applyFont="1" applyBorder="1" applyAlignment="1">
      <alignment horizontal="center"/>
    </xf>
    <xf numFmtId="9" fontId="0" fillId="0" borderId="0" xfId="12" applyFont="1" applyFill="1"/>
    <xf numFmtId="0" fontId="47" fillId="0" borderId="0" xfId="20"/>
    <xf numFmtId="2" fontId="66" fillId="0" borderId="0" xfId="0" applyNumberFormat="1" applyFont="1"/>
    <xf numFmtId="177" fontId="0" fillId="0" borderId="0" xfId="0" applyNumberFormat="1"/>
    <xf numFmtId="178" fontId="0" fillId="0" borderId="0" xfId="0" applyNumberFormat="1"/>
    <xf numFmtId="167" fontId="56" fillId="0" borderId="0" xfId="0" applyNumberFormat="1" applyFont="1" applyAlignment="1">
      <alignment horizontal="center"/>
    </xf>
    <xf numFmtId="165" fontId="56" fillId="0" borderId="0" xfId="1" applyNumberFormat="1" applyFont="1" applyFill="1" applyAlignment="1">
      <alignment horizontal="left"/>
    </xf>
    <xf numFmtId="165" fontId="56" fillId="0" borderId="0" xfId="1" applyNumberFormat="1" applyFont="1" applyFill="1" applyAlignment="1">
      <alignment horizontal="center"/>
    </xf>
    <xf numFmtId="3" fontId="56" fillId="0" borderId="0" xfId="1" applyNumberFormat="1" applyFont="1" applyFill="1" applyBorder="1" applyAlignment="1">
      <alignment horizontal="right" indent="1"/>
    </xf>
    <xf numFmtId="3" fontId="56" fillId="0" borderId="0" xfId="1" applyNumberFormat="1" applyFont="1" applyFill="1" applyAlignment="1">
      <alignment horizontal="right" indent="2"/>
    </xf>
    <xf numFmtId="3" fontId="65" fillId="0" borderId="0" xfId="0" applyNumberFormat="1" applyFont="1"/>
    <xf numFmtId="173" fontId="0" fillId="0" borderId="0" xfId="0" applyNumberFormat="1"/>
    <xf numFmtId="3" fontId="64" fillId="0" borderId="0" xfId="1" applyNumberFormat="1" applyFont="1" applyFill="1" applyAlignment="1">
      <alignment horizontal="right" indent="1"/>
    </xf>
    <xf numFmtId="3" fontId="56" fillId="0" borderId="0" xfId="1" applyNumberFormat="1" applyFont="1" applyFill="1" applyAlignment="1">
      <alignment horizontal="right"/>
    </xf>
    <xf numFmtId="37" fontId="56" fillId="0" borderId="0" xfId="1" applyNumberFormat="1" applyFont="1" applyFill="1" applyBorder="1" applyAlignment="1">
      <alignment horizontal="right" indent="2"/>
    </xf>
    <xf numFmtId="37" fontId="56" fillId="0" borderId="0" xfId="1" applyNumberFormat="1" applyFont="1" applyFill="1" applyBorder="1" applyAlignment="1">
      <alignment horizontal="right" indent="1"/>
    </xf>
    <xf numFmtId="37" fontId="56" fillId="0" borderId="0" xfId="1" applyNumberFormat="1" applyFont="1" applyFill="1" applyAlignment="1">
      <alignment horizontal="center"/>
    </xf>
    <xf numFmtId="37" fontId="56" fillId="0" borderId="0" xfId="0" applyNumberFormat="1" applyFont="1"/>
    <xf numFmtId="1" fontId="56" fillId="0" borderId="0" xfId="0" applyNumberFormat="1" applyFont="1" applyAlignment="1">
      <alignment horizontal="center"/>
    </xf>
    <xf numFmtId="170" fontId="56" fillId="0" borderId="0" xfId="0" applyNumberFormat="1" applyFont="1"/>
    <xf numFmtId="3" fontId="56" fillId="0" borderId="0" xfId="1" applyNumberFormat="1" applyFont="1" applyAlignment="1">
      <alignment horizontal="right" indent="1"/>
    </xf>
    <xf numFmtId="165" fontId="0" fillId="0" borderId="0" xfId="1" applyNumberFormat="1" applyFont="1" applyAlignment="1">
      <alignment horizontal="left" indent="1"/>
    </xf>
    <xf numFmtId="0" fontId="62" fillId="0" borderId="1" xfId="20" applyFont="1" applyBorder="1"/>
    <xf numFmtId="0" fontId="56" fillId="0" borderId="0" xfId="20" applyFont="1"/>
    <xf numFmtId="0" fontId="56" fillId="0" borderId="0" xfId="20" applyFont="1" applyAlignment="1">
      <alignment vertical="center"/>
    </xf>
    <xf numFmtId="41" fontId="64" fillId="0" borderId="0" xfId="20" applyNumberFormat="1" applyFont="1"/>
    <xf numFmtId="17" fontId="56" fillId="0" borderId="0" xfId="20" applyNumberFormat="1" applyFont="1" applyAlignment="1">
      <alignment horizontal="left"/>
    </xf>
    <xf numFmtId="0" fontId="113" fillId="0" borderId="1" xfId="386" applyFont="1" applyBorder="1" applyAlignment="1">
      <alignment horizontal="left" wrapText="1"/>
    </xf>
    <xf numFmtId="4" fontId="47" fillId="0" borderId="0" xfId="20" applyNumberFormat="1"/>
    <xf numFmtId="167" fontId="0" fillId="0" borderId="0" xfId="0" applyNumberFormat="1"/>
    <xf numFmtId="2" fontId="56" fillId="2" borderId="0" xfId="0" applyNumberFormat="1" applyFont="1" applyFill="1" applyAlignment="1">
      <alignment horizontal="right" indent="2"/>
    </xf>
    <xf numFmtId="0" fontId="56" fillId="2" borderId="0" xfId="0" applyFont="1" applyFill="1"/>
    <xf numFmtId="0" fontId="0" fillId="2" borderId="0" xfId="0" applyFill="1"/>
    <xf numFmtId="2" fontId="47" fillId="0" borderId="0" xfId="0" applyNumberFormat="1" applyFont="1"/>
    <xf numFmtId="0" fontId="56" fillId="0" borderId="1" xfId="20" applyFont="1" applyBorder="1"/>
    <xf numFmtId="0" fontId="113" fillId="0" borderId="0" xfId="386" applyFont="1" applyAlignment="1">
      <alignment horizontal="left" wrapText="1"/>
    </xf>
    <xf numFmtId="0" fontId="113" fillId="0" borderId="43" xfId="386" applyFont="1" applyBorder="1" applyAlignment="1">
      <alignment horizontal="left" wrapText="1"/>
    </xf>
    <xf numFmtId="167" fontId="56" fillId="0" borderId="0" xfId="20" applyNumberFormat="1" applyFont="1" applyAlignment="1">
      <alignment horizontal="right"/>
    </xf>
    <xf numFmtId="0" fontId="113" fillId="0" borderId="1" xfId="386" applyFont="1" applyBorder="1" applyAlignment="1">
      <alignment horizontal="center" wrapText="1"/>
    </xf>
    <xf numFmtId="167" fontId="56" fillId="0" borderId="0" xfId="20" applyNumberFormat="1" applyFont="1"/>
    <xf numFmtId="1" fontId="56" fillId="0" borderId="0" xfId="20" applyNumberFormat="1" applyFont="1"/>
    <xf numFmtId="165" fontId="0" fillId="0" borderId="0" xfId="1" applyNumberFormat="1" applyFont="1"/>
    <xf numFmtId="164" fontId="64" fillId="0" borderId="0" xfId="1" applyNumberFormat="1" applyFont="1" applyFill="1"/>
    <xf numFmtId="164" fontId="64" fillId="0" borderId="0" xfId="1" applyNumberFormat="1" applyFont="1" applyFill="1" applyAlignment="1">
      <alignment horizontal="right"/>
    </xf>
    <xf numFmtId="164" fontId="56" fillId="0" borderId="0" xfId="1" applyNumberFormat="1" applyFont="1" applyFill="1" applyBorder="1" applyAlignment="1">
      <alignment horizontal="right" indent="1"/>
    </xf>
    <xf numFmtId="172" fontId="56" fillId="0" borderId="0" xfId="12" applyNumberFormat="1" applyFont="1" applyFill="1" applyBorder="1"/>
    <xf numFmtId="2" fontId="56" fillId="0" borderId="0" xfId="12" applyNumberFormat="1" applyFont="1" applyFill="1" applyBorder="1"/>
    <xf numFmtId="0" fontId="62" fillId="0" borderId="0" xfId="20" applyFont="1"/>
    <xf numFmtId="165" fontId="47" fillId="0" borderId="0" xfId="1" applyNumberFormat="1" applyFont="1"/>
    <xf numFmtId="0" fontId="113" fillId="0" borderId="1" xfId="386" applyFont="1" applyBorder="1" applyAlignment="1">
      <alignment horizontal="left"/>
    </xf>
    <xf numFmtId="165" fontId="64" fillId="0" borderId="0" xfId="1" applyNumberFormat="1" applyFont="1" applyFill="1" applyAlignment="1">
      <alignment horizontal="center"/>
    </xf>
    <xf numFmtId="165" fontId="0" fillId="0" borderId="0" xfId="0" applyNumberFormat="1"/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56" fillId="0" borderId="1" xfId="1" applyNumberFormat="1" applyFont="1" applyFill="1" applyBorder="1" applyAlignment="1">
      <alignment horizontal="center"/>
    </xf>
    <xf numFmtId="37" fontId="56" fillId="0" borderId="1" xfId="1" applyNumberFormat="1" applyFont="1" applyFill="1" applyBorder="1" applyAlignment="1">
      <alignment horizontal="right" indent="2"/>
    </xf>
    <xf numFmtId="165" fontId="56" fillId="0" borderId="1" xfId="1" applyNumberFormat="1" applyFont="1" applyFill="1" applyBorder="1"/>
    <xf numFmtId="37" fontId="56" fillId="0" borderId="1" xfId="1" applyNumberFormat="1" applyFont="1" applyFill="1" applyBorder="1" applyAlignment="1">
      <alignment horizontal="right" indent="1"/>
    </xf>
    <xf numFmtId="1" fontId="56" fillId="0" borderId="1" xfId="0" applyNumberFormat="1" applyFont="1" applyBorder="1" applyAlignment="1">
      <alignment horizontal="center"/>
    </xf>
    <xf numFmtId="0" fontId="113" fillId="0" borderId="43" xfId="386" applyFont="1" applyBorder="1" applyAlignment="1">
      <alignment horizontal="center" wrapText="1"/>
    </xf>
    <xf numFmtId="0" fontId="54" fillId="0" borderId="43" xfId="20" applyFont="1" applyBorder="1" applyAlignment="1">
      <alignment horizontal="center"/>
    </xf>
    <xf numFmtId="0" fontId="54" fillId="0" borderId="43" xfId="0" applyFont="1" applyBorder="1" applyAlignment="1">
      <alignment horizontal="center"/>
    </xf>
    <xf numFmtId="0" fontId="62" fillId="0" borderId="1" xfId="20" applyFont="1" applyBorder="1" applyAlignment="1">
      <alignment wrapText="1"/>
    </xf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2" xfId="0" quotePrefix="1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5" xfId="0" quotePrefix="1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5" xfId="0" applyFont="1" applyBorder="1" applyAlignment="1">
      <alignment horizontal="center"/>
    </xf>
  </cellXfs>
  <cellStyles count="387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0" xfId="378" xr:uid="{C0BDACBF-3619-4FBE-8B6C-5F7DC0F97B12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3" xfId="385" xr:uid="{22F6C968-E729-4542-A5F8-49C2B25E9079}"/>
    <cellStyle name="Normal 11 6 4" xfId="46" xr:uid="{8BEB9B88-2ECA-4F90-BDBA-C56B823B5754}"/>
    <cellStyle name="Normal 11 6 4 2" xfId="382" xr:uid="{E35375AA-E205-4716-B41F-9DAAC86A63D1}"/>
    <cellStyle name="Normal 11 6 4 3" xfId="384" xr:uid="{2CD41167-0A76-4530-B037-E4CBB634296A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CC66"/>
      <color rgb="FFC0502F"/>
      <color rgb="FFFFFF00"/>
      <color rgb="FFFFCF01"/>
      <color rgb="FFFA6400"/>
      <color rgb="FFFFD966"/>
      <color rgb="FFFF9933"/>
      <color rgb="FFFFFF99"/>
      <color rgb="FF0000FF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 soybean meal domestic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consumption, exports, and price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81839738417439E-2"/>
          <c:y val="0.21569469404338742"/>
          <c:w val="0.83446433431019851"/>
          <c:h val="0.483592786458586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Domestic consumption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1'!$B$2:$B$12</c:f>
              <c:numCache>
                <c:formatCode>0.0</c:formatCode>
                <c:ptCount val="11"/>
                <c:pt idx="0">
                  <c:v>32.28</c:v>
                </c:pt>
                <c:pt idx="1">
                  <c:v>33.11</c:v>
                </c:pt>
                <c:pt idx="2">
                  <c:v>33.42</c:v>
                </c:pt>
                <c:pt idx="3">
                  <c:v>35.54</c:v>
                </c:pt>
                <c:pt idx="4">
                  <c:v>36.270000000000003</c:v>
                </c:pt>
                <c:pt idx="5">
                  <c:v>37.97</c:v>
                </c:pt>
                <c:pt idx="6">
                  <c:v>37.67</c:v>
                </c:pt>
                <c:pt idx="7">
                  <c:v>38.94</c:v>
                </c:pt>
                <c:pt idx="8">
                  <c:v>38.520000000000003</c:v>
                </c:pt>
                <c:pt idx="9">
                  <c:v>38.78</c:v>
                </c:pt>
                <c:pt idx="10">
                  <c:v>40.130000000000003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B-4490-AB8B-4407BAACD8E8}"/>
            </c:ext>
          </c:extLst>
        </c:ser>
        <c:ser>
          <c:idx val="0"/>
          <c:order val="1"/>
          <c:tx>
            <c:strRef>
              <c:f>'Figure 1'!$C$1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1'!$C$2:$C$12</c:f>
              <c:numCache>
                <c:formatCode>0.0</c:formatCode>
                <c:ptCount val="11"/>
                <c:pt idx="0">
                  <c:v>13.11</c:v>
                </c:pt>
                <c:pt idx="1">
                  <c:v>11.95</c:v>
                </c:pt>
                <c:pt idx="2">
                  <c:v>11.58</c:v>
                </c:pt>
                <c:pt idx="3">
                  <c:v>14.02</c:v>
                </c:pt>
                <c:pt idx="4">
                  <c:v>13.38</c:v>
                </c:pt>
                <c:pt idx="5">
                  <c:v>13.83</c:v>
                </c:pt>
                <c:pt idx="6">
                  <c:v>13.68</c:v>
                </c:pt>
                <c:pt idx="7">
                  <c:v>13.56</c:v>
                </c:pt>
                <c:pt idx="8">
                  <c:v>14.55</c:v>
                </c:pt>
                <c:pt idx="9">
                  <c:v>16</c:v>
                </c:pt>
                <c:pt idx="1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B-4490-AB8B-4407BAAC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2"/>
          <c:order val="2"/>
          <c:tx>
            <c:strRef>
              <c:f>'Figure 1'!$D$1</c:f>
              <c:strCache>
                <c:ptCount val="1"/>
                <c:pt idx="0">
                  <c:v>Meal price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1'!$A$2:$A$12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1'!$D$2:$D$12</c:f>
              <c:numCache>
                <c:formatCode>0</c:formatCode>
                <c:ptCount val="11"/>
                <c:pt idx="0">
                  <c:v>368.49</c:v>
                </c:pt>
                <c:pt idx="1">
                  <c:v>324.56</c:v>
                </c:pt>
                <c:pt idx="2">
                  <c:v>316.88</c:v>
                </c:pt>
                <c:pt idx="3">
                  <c:v>345.02</c:v>
                </c:pt>
                <c:pt idx="4">
                  <c:v>308.27999999999997</c:v>
                </c:pt>
                <c:pt idx="5">
                  <c:v>299.5</c:v>
                </c:pt>
                <c:pt idx="6">
                  <c:v>392.31</c:v>
                </c:pt>
                <c:pt idx="7">
                  <c:v>439.81</c:v>
                </c:pt>
                <c:pt idx="8">
                  <c:v>451.91</c:v>
                </c:pt>
                <c:pt idx="9">
                  <c:v>385</c:v>
                </c:pt>
                <c:pt idx="10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8B-4490-AB8B-4407BAAC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938736"/>
        <c:axId val="588926256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2974888318306531"/>
              <c:y val="0.8464102934557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short tons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533172627707916E-3"/>
              <c:y val="0.13584254176257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58892625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U.S. dollars per short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483728258893396"/>
              <c:y val="0.10133820873357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8938736"/>
        <c:crosses val="max"/>
        <c:crossBetween val="between"/>
      </c:valAx>
      <c:catAx>
        <c:axId val="58893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92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499197018362523"/>
          <c:y val="0.14132483344466817"/>
          <c:w val="0.56687624992424701"/>
          <c:h val="5.56087841228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U.S. peanut production, crush, and exports</a:t>
            </a:r>
            <a:endParaRPr lang="en-US" sz="2000" b="1">
              <a:effectLst/>
            </a:endParaRPr>
          </a:p>
        </c:rich>
      </c:tx>
      <c:layout>
        <c:manualLayout>
          <c:xMode val="edge"/>
          <c:yMode val="edge"/>
          <c:x val="1.7568588659466102E-3"/>
          <c:y val="6.73834580966768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250318710161236E-2"/>
          <c:y val="0.20956986650243845"/>
          <c:w val="0.90522474690663668"/>
          <c:h val="0.5476421056937024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2'!$C$1</c:f>
              <c:strCache>
                <c:ptCount val="1"/>
                <c:pt idx="0">
                  <c:v>Food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2'!$C$2:$C$6</c:f>
              <c:numCache>
                <c:formatCode>_(* #,##0_);_(* \(#,##0\);_(* "-"??_);_(@_)</c:formatCode>
                <c:ptCount val="5"/>
                <c:pt idx="0">
                  <c:v>3356.6</c:v>
                </c:pt>
                <c:pt idx="1">
                  <c:v>3313</c:v>
                </c:pt>
                <c:pt idx="2">
                  <c:v>3201</c:v>
                </c:pt>
                <c:pt idx="3">
                  <c:v>2989.5</c:v>
                </c:pt>
                <c:pt idx="4">
                  <c:v>3189.7216765229996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5A-44EF-AD69-039D1974B452}"/>
            </c:ext>
          </c:extLst>
        </c:ser>
        <c:ser>
          <c:idx val="5"/>
          <c:order val="1"/>
          <c:tx>
            <c:strRef>
              <c:f>'Figure 2'!$D$1</c:f>
              <c:strCache>
                <c:ptCount val="1"/>
                <c:pt idx="0">
                  <c:v>Crush</c:v>
                </c:pt>
              </c:strCache>
            </c:strRef>
          </c:tx>
          <c:spPr>
            <a:ln w="381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2'!$D$2:$D$6</c:f>
              <c:numCache>
                <c:formatCode>_(* #,##0_);_(* \(#,##0\);_(* "-"??_);_(@_)</c:formatCode>
                <c:ptCount val="5"/>
                <c:pt idx="0">
                  <c:v>872.91017669999985</c:v>
                </c:pt>
                <c:pt idx="1">
                  <c:v>842.43227200000001</c:v>
                </c:pt>
                <c:pt idx="2">
                  <c:v>794.70279860000005</c:v>
                </c:pt>
                <c:pt idx="3">
                  <c:v>654.23564369999997</c:v>
                </c:pt>
                <c:pt idx="4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5A-44EF-AD69-039D1974B452}"/>
            </c:ext>
          </c:extLst>
        </c:ser>
        <c:ser>
          <c:idx val="0"/>
          <c:order val="2"/>
          <c:tx>
            <c:strRef>
              <c:f>'Figure 2'!$E$1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2'!$E$2:$E$6</c:f>
              <c:numCache>
                <c:formatCode>_(* #,##0_);_(* \(#,##0\);_(* "-"??_);_(@_)</c:formatCode>
                <c:ptCount val="5"/>
                <c:pt idx="0">
                  <c:v>1429.3264914515985</c:v>
                </c:pt>
                <c:pt idx="1">
                  <c:v>1184.1439732486624</c:v>
                </c:pt>
                <c:pt idx="2">
                  <c:v>1197.1171181564243</c:v>
                </c:pt>
                <c:pt idx="3">
                  <c:v>1455.3466342785212</c:v>
                </c:pt>
                <c:pt idx="4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5A-44EF-AD69-039D1974B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3"/>
          <c:tx>
            <c:strRef>
              <c:f>'Figure 2'!$B$1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896105629210839E-2"/>
                  <c:y val="-4.5739158173109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5A-44EF-AD69-039D1974B452}"/>
                </c:ext>
              </c:extLst>
            </c:dLbl>
            <c:dLbl>
              <c:idx val="1"/>
              <c:layout>
                <c:manualLayout>
                  <c:x val="-3.3896105629210839E-2"/>
                  <c:y val="-4.2472075446458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5A-44EF-AD69-039D1974B452}"/>
                </c:ext>
              </c:extLst>
            </c:dLbl>
            <c:dLbl>
              <c:idx val="2"/>
              <c:layout>
                <c:manualLayout>
                  <c:x val="-3.3896105629210839E-2"/>
                  <c:y val="-4.2472075446458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5A-44EF-AD69-039D1974B452}"/>
                </c:ext>
              </c:extLst>
            </c:dLbl>
            <c:dLbl>
              <c:idx val="3"/>
              <c:layout>
                <c:manualLayout>
                  <c:x val="-4.3636365867489819E-2"/>
                  <c:y val="-3.593790999315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5A-44EF-AD69-039D1974B452}"/>
                </c:ext>
              </c:extLst>
            </c:dLbl>
            <c:dLbl>
              <c:idx val="4"/>
              <c:layout>
                <c:manualLayout>
                  <c:x val="-4.7532469962801409E-2"/>
                  <c:y val="-3.593790999315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5A-44EF-AD69-039D1974B45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2'!$A$2:$A$6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f>'Figure 2'!$B$2:$B$6</c:f>
              <c:numCache>
                <c:formatCode>_(* #,##0_);_(* \(#,##0\);_(* "-"??_);_(@_)</c:formatCode>
                <c:ptCount val="5"/>
                <c:pt idx="0">
                  <c:v>6162.75</c:v>
                </c:pt>
                <c:pt idx="1">
                  <c:v>6359.19</c:v>
                </c:pt>
                <c:pt idx="2">
                  <c:v>5541.7719999999999</c:v>
                </c:pt>
                <c:pt idx="3">
                  <c:v>5890.02</c:v>
                </c:pt>
                <c:pt idx="4">
                  <c:v>6709.8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5A-44EF-AD69-039D1974B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Marketing</a:t>
                </a:r>
                <a:r>
                  <a:rPr lang="en-US" b="0" baseline="0"/>
                  <a:t> year</a:t>
                </a:r>
                <a:endParaRPr lang="en-US" b="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70941132358455"/>
          <c:y val="0.1245292094031531"/>
          <c:w val="0.53374186263290713"/>
          <c:h val="5.3120824509758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Global sunflowerseed production and crush, MY 2020/21–2024/25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1.7568588659466102E-3"/>
          <c:y val="6.73834580966768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20262543379465E-2"/>
          <c:y val="0.19970683138329426"/>
          <c:w val="0.92427234708986139"/>
          <c:h val="0.557505137760970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3'!$B$2</c:f>
              <c:strCache>
                <c:ptCount val="1"/>
                <c:pt idx="0">
                  <c:v>EU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3'!$A$3:$A$8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 Aug*</c:v>
                </c:pt>
                <c:pt idx="5">
                  <c:v>2024/25 Sep*</c:v>
                </c:pt>
              </c:strCache>
            </c:strRef>
          </c:cat>
          <c:val>
            <c:numRef>
              <c:f>'Figure 3'!$B$3:$B$8</c:f>
              <c:numCache>
                <c:formatCode>0.0</c:formatCode>
                <c:ptCount val="6"/>
                <c:pt idx="0">
                  <c:v>8.8970000000000002</c:v>
                </c:pt>
                <c:pt idx="1">
                  <c:v>10.327999999999999</c:v>
                </c:pt>
                <c:pt idx="2">
                  <c:v>9.3849999999999998</c:v>
                </c:pt>
                <c:pt idx="3">
                  <c:v>10.005000000000001</c:v>
                </c:pt>
                <c:pt idx="4">
                  <c:v>10.15</c:v>
                </c:pt>
                <c:pt idx="5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B2-489D-AC06-6B9351288354}"/>
            </c:ext>
          </c:extLst>
        </c:ser>
        <c:ser>
          <c:idx val="0"/>
          <c:order val="2"/>
          <c:tx>
            <c:strRef>
              <c:f>'Figure 3'!$C$2</c:f>
              <c:strCache>
                <c:ptCount val="1"/>
                <c:pt idx="0">
                  <c:v>Russia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3'!$C$3:$C$8</c:f>
              <c:numCache>
                <c:formatCode>0.0</c:formatCode>
                <c:ptCount val="6"/>
                <c:pt idx="0">
                  <c:v>13.269</c:v>
                </c:pt>
                <c:pt idx="1">
                  <c:v>15.571999999999999</c:v>
                </c:pt>
                <c:pt idx="2">
                  <c:v>16.254000000000001</c:v>
                </c:pt>
                <c:pt idx="3">
                  <c:v>17.100000000000001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6-4D1C-801F-01170979BCA1}"/>
            </c:ext>
          </c:extLst>
        </c:ser>
        <c:ser>
          <c:idx val="1"/>
          <c:order val="3"/>
          <c:tx>
            <c:strRef>
              <c:f>'Figure 3'!$D$2</c:f>
              <c:strCache>
                <c:ptCount val="1"/>
                <c:pt idx="0">
                  <c:v>Ukraine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3'!$D$3:$D$8</c:f>
              <c:numCache>
                <c:formatCode>0.0</c:formatCode>
                <c:ptCount val="6"/>
                <c:pt idx="0">
                  <c:v>14.1</c:v>
                </c:pt>
                <c:pt idx="1">
                  <c:v>17.5</c:v>
                </c:pt>
                <c:pt idx="2">
                  <c:v>12.2</c:v>
                </c:pt>
                <c:pt idx="3">
                  <c:v>15.5</c:v>
                </c:pt>
                <c:pt idx="4">
                  <c:v>13.5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6-4D1C-801F-01170979BCA1}"/>
            </c:ext>
          </c:extLst>
        </c:ser>
        <c:ser>
          <c:idx val="3"/>
          <c:order val="4"/>
          <c:tx>
            <c:strRef>
              <c:f>'Figure 3'!$E$2</c:f>
              <c:strCache>
                <c:ptCount val="1"/>
                <c:pt idx="0">
                  <c:v>ROW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3'!$E$3:$E$8</c:f>
              <c:numCache>
                <c:formatCode>0.0</c:formatCode>
                <c:ptCount val="6"/>
                <c:pt idx="0">
                  <c:v>12.608000000000004</c:v>
                </c:pt>
                <c:pt idx="1">
                  <c:v>13.457999999999998</c:v>
                </c:pt>
                <c:pt idx="2">
                  <c:v>14.940000000000005</c:v>
                </c:pt>
                <c:pt idx="3">
                  <c:v>13.325999999999993</c:v>
                </c:pt>
                <c:pt idx="4">
                  <c:v>12.890999999999998</c:v>
                </c:pt>
                <c:pt idx="5">
                  <c:v>12.552999999999997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06-4D1C-801F-01170979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5"/>
          <c:order val="1"/>
          <c:tx>
            <c:strRef>
              <c:f>'Figure 3'!$F$2</c:f>
              <c:strCache>
                <c:ptCount val="1"/>
                <c:pt idx="0">
                  <c:v>Crush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'Figure 3'!$A$3:$A$8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 Aug*</c:v>
                </c:pt>
                <c:pt idx="5">
                  <c:v>2024/25 Sep*</c:v>
                </c:pt>
              </c:strCache>
            </c:strRef>
          </c:cat>
          <c:val>
            <c:numRef>
              <c:f>'Figure 3'!$F$3:$F$8</c:f>
              <c:numCache>
                <c:formatCode>0.0</c:formatCode>
                <c:ptCount val="6"/>
                <c:pt idx="0">
                  <c:v>45.048999999999999</c:v>
                </c:pt>
                <c:pt idx="1">
                  <c:v>46.722000000000001</c:v>
                </c:pt>
                <c:pt idx="2">
                  <c:v>51.405999999999999</c:v>
                </c:pt>
                <c:pt idx="3">
                  <c:v>52.414000000000001</c:v>
                </c:pt>
                <c:pt idx="4">
                  <c:v>48.737000000000002</c:v>
                </c:pt>
                <c:pt idx="5">
                  <c:v>46.936999999999998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B2-489D-AC06-6B935128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817500052304E-3"/>
              <c:y val="0.115903845401049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423704290348622"/>
          <c:y val="0.12452908084289711"/>
          <c:w val="0.45914249179666405"/>
          <c:h val="5.7914010307692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European Union major vegetable oil ending stocks, MY 2020/21–2024/25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1.7568380084176721E-3"/>
          <c:y val="3.157219492594760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20262543379465E-2"/>
          <c:y val="0.24532090067688908"/>
          <c:w val="0.91369038402277702"/>
          <c:h val="0.5118911451857991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'Figure 4 '!$B$2</c:f>
              <c:strCache>
                <c:ptCount val="1"/>
                <c:pt idx="0">
                  <c:v>Palm oil</c:v>
                </c:pt>
              </c:strCache>
            </c:strRef>
          </c:tx>
          <c:spPr>
            <a:pattFill prst="dkHorz">
              <a:fgClr>
                <a:schemeClr val="accent5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 '!$A$3:$A$8</c:f>
              <c:strCache>
                <c:ptCount val="6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 Aug*</c:v>
                </c:pt>
                <c:pt idx="5">
                  <c:v>2024/2025 Sep*</c:v>
                </c:pt>
              </c:strCache>
            </c:strRef>
          </c:cat>
          <c:val>
            <c:numRef>
              <c:f>'Figure 4 '!$B$3:$B$8</c:f>
              <c:numCache>
                <c:formatCode>General</c:formatCode>
                <c:ptCount val="6"/>
                <c:pt idx="0">
                  <c:v>568</c:v>
                </c:pt>
                <c:pt idx="1">
                  <c:v>575</c:v>
                </c:pt>
                <c:pt idx="2">
                  <c:v>600</c:v>
                </c:pt>
                <c:pt idx="3">
                  <c:v>495</c:v>
                </c:pt>
                <c:pt idx="4">
                  <c:v>575</c:v>
                </c:pt>
                <c:pt idx="5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9-4201-8045-CF834A349414}"/>
            </c:ext>
          </c:extLst>
        </c:ser>
        <c:ser>
          <c:idx val="4"/>
          <c:order val="1"/>
          <c:tx>
            <c:strRef>
              <c:f>'Figure 4 '!$C$2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 '!$C$3:$C$8</c:f>
              <c:numCache>
                <c:formatCode>General</c:formatCode>
                <c:ptCount val="6"/>
                <c:pt idx="0">
                  <c:v>211</c:v>
                </c:pt>
                <c:pt idx="1">
                  <c:v>373</c:v>
                </c:pt>
                <c:pt idx="2">
                  <c:v>343</c:v>
                </c:pt>
                <c:pt idx="3">
                  <c:v>413</c:v>
                </c:pt>
                <c:pt idx="4">
                  <c:v>343</c:v>
                </c:pt>
                <c:pt idx="5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9-4201-8045-CF834A349414}"/>
            </c:ext>
          </c:extLst>
        </c:ser>
        <c:ser>
          <c:idx val="3"/>
          <c:order val="2"/>
          <c:tx>
            <c:strRef>
              <c:f>'Figure 4 '!$D$2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4 '!$D$3:$D$8</c:f>
              <c:numCache>
                <c:formatCode>General</c:formatCode>
                <c:ptCount val="6"/>
                <c:pt idx="0">
                  <c:v>440</c:v>
                </c:pt>
                <c:pt idx="1">
                  <c:v>550</c:v>
                </c:pt>
                <c:pt idx="2">
                  <c:v>563</c:v>
                </c:pt>
                <c:pt idx="3">
                  <c:v>613</c:v>
                </c:pt>
                <c:pt idx="4">
                  <c:v>596</c:v>
                </c:pt>
                <c:pt idx="5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39-4201-8045-CF834A349414}"/>
            </c:ext>
          </c:extLst>
        </c:ser>
        <c:ser>
          <c:idx val="7"/>
          <c:order val="3"/>
          <c:tx>
            <c:strRef>
              <c:f>'Figure 4 '!$E$2</c:f>
              <c:strCache>
                <c:ptCount val="1"/>
                <c:pt idx="0">
                  <c:v>Sunflowerseed oil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4 '!$E$3:$E$8</c:f>
              <c:numCache>
                <c:formatCode>General</c:formatCode>
                <c:ptCount val="6"/>
                <c:pt idx="0">
                  <c:v>211</c:v>
                </c:pt>
                <c:pt idx="1">
                  <c:v>645</c:v>
                </c:pt>
                <c:pt idx="2">
                  <c:v>328</c:v>
                </c:pt>
                <c:pt idx="3">
                  <c:v>602</c:v>
                </c:pt>
                <c:pt idx="4">
                  <c:v>314</c:v>
                </c:pt>
                <c:pt idx="5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39-4201-8045-CF834A3494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4"/>
          <c:tx>
            <c:strRef>
              <c:f>'Figure 4 '!$F$2</c:f>
              <c:strCache>
                <c:ptCount val="1"/>
                <c:pt idx="0">
                  <c:v>Total major oils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721334316358482E-2"/>
                  <c:y val="-3.85964912280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39-4201-8045-CF834A349414}"/>
                </c:ext>
              </c:extLst>
            </c:dLbl>
            <c:dLbl>
              <c:idx val="1"/>
              <c:layout>
                <c:manualLayout>
                  <c:x val="-4.3721334316358482E-2"/>
                  <c:y val="-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39-4201-8045-CF834A349414}"/>
                </c:ext>
              </c:extLst>
            </c:dLbl>
            <c:dLbl>
              <c:idx val="2"/>
              <c:layout>
                <c:manualLayout>
                  <c:x val="-4.3721334316358468E-2"/>
                  <c:y val="-4.2105263157894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39-4201-8045-CF834A349414}"/>
                </c:ext>
              </c:extLst>
            </c:dLbl>
            <c:dLbl>
              <c:idx val="3"/>
              <c:layout>
                <c:manualLayout>
                  <c:x val="-4.3721334316358468E-2"/>
                  <c:y val="-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9-4201-8045-CF834A349414}"/>
                </c:ext>
              </c:extLst>
            </c:dLbl>
            <c:dLbl>
              <c:idx val="4"/>
              <c:layout>
                <c:manualLayout>
                  <c:x val="-4.3721334316358468E-2"/>
                  <c:y val="-4.5614035087719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9-4201-8045-CF834A349414}"/>
                </c:ext>
              </c:extLst>
            </c:dLbl>
            <c:dLbl>
              <c:idx val="5"/>
              <c:layout>
                <c:manualLayout>
                  <c:x val="-4.3721334316358468E-2"/>
                  <c:y val="-5.2631578947368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9-4201-8045-CF834A34941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4 '!$F$3:$F$8</c:f>
              <c:numCache>
                <c:formatCode>_(* #,##0_);_(* \(#,##0\);_(* "-"??_);_(@_)</c:formatCode>
                <c:ptCount val="6"/>
                <c:pt idx="0">
                  <c:v>1430</c:v>
                </c:pt>
                <c:pt idx="1">
                  <c:v>2143</c:v>
                </c:pt>
                <c:pt idx="2">
                  <c:v>1834</c:v>
                </c:pt>
                <c:pt idx="3">
                  <c:v>2123</c:v>
                </c:pt>
                <c:pt idx="4">
                  <c:v>1828</c:v>
                </c:pt>
                <c:pt idx="5">
                  <c:v>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639-4201-8045-CF834A349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945250462407411"/>
              <c:y val="0.830684348666942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</a:t>
                </a:r>
              </a:p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 metric tons</a:t>
                </a:r>
              </a:p>
            </c:rich>
          </c:tx>
          <c:layout>
            <c:manualLayout>
              <c:xMode val="edge"/>
              <c:yMode val="edge"/>
              <c:x val="4.1715613087862204E-3"/>
              <c:y val="0.11590385412349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314361633356714"/>
          <c:y val="0.12803785053184141"/>
          <c:w val="0.81394633810407879"/>
          <c:h val="0.10508606161071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3600</xdr:colOff>
      <xdr:row>0</xdr:row>
      <xdr:rowOff>10583</xdr:rowOff>
    </xdr:from>
    <xdr:to>
      <xdr:col>15</xdr:col>
      <xdr:colOff>372533</xdr:colOff>
      <xdr:row>20</xdr:row>
      <xdr:rowOff>172086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10E5FE-7735-45FB-A406-726179125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0.89273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213101"/>
          <a:ext cx="6070601" cy="38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September 2024.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0</xdr:row>
      <xdr:rowOff>0</xdr:rowOff>
    </xdr:from>
    <xdr:to>
      <xdr:col>16</xdr:col>
      <xdr:colOff>82550</xdr:colOff>
      <xdr:row>20</xdr:row>
      <xdr:rowOff>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AE4DA7-6715-6136-C35E-EAC9BECDD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0.83965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743202"/>
          <a:ext cx="6746875" cy="504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World Agricultural Outlook Board,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, September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2024.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59688</xdr:colOff>
      <xdr:row>0</xdr:row>
      <xdr:rowOff>232407</xdr:rowOff>
    </xdr:from>
    <xdr:to>
      <xdr:col>18</xdr:col>
      <xdr:colOff>323849</xdr:colOff>
      <xdr:row>20</xdr:row>
      <xdr:rowOff>85724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E58E40B9-E346-C3EF-8E76-D2C647093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0.83965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743202"/>
          <a:ext cx="6746875" cy="504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ROW = Rest of World. MY = Marketing year.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September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1</xdr:row>
      <xdr:rowOff>83820</xdr:rowOff>
    </xdr:from>
    <xdr:to>
      <xdr:col>18</xdr:col>
      <xdr:colOff>209549</xdr:colOff>
      <xdr:row>21</xdr:row>
      <xdr:rowOff>10795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BDD63-6E3D-4BFB-9B81-5A03B2C94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0.83965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54280"/>
          <a:ext cx="7351396" cy="57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MY = Marketing year.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September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0.83965</cdr:y>
    </cdr:from>
    <cdr:to>
      <cdr:x>1</cdr:x>
      <cdr:y>0.99393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913816"/>
          <a:ext cx="6943725" cy="535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MY = Marketing year.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September 2024.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7"/>
  <sheetViews>
    <sheetView tabSelected="1" workbookViewId="0"/>
  </sheetViews>
  <sheetFormatPr defaultColWidth="9.5546875" defaultRowHeight="13.8"/>
  <cols>
    <col min="1" max="1" width="166.77734375" style="12" customWidth="1"/>
    <col min="2" max="16384" width="9.5546875" style="1"/>
  </cols>
  <sheetData>
    <row r="1" spans="1:3">
      <c r="B1" s="82"/>
      <c r="C1" s="82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82"/>
      <c r="C14" s="82"/>
    </row>
    <row r="15" spans="1:3" ht="13.2">
      <c r="A15" s="82"/>
      <c r="B15" s="82"/>
      <c r="C15" s="82"/>
    </row>
    <row r="16" spans="1:3">
      <c r="A16" s="7" t="s">
        <v>12</v>
      </c>
      <c r="B16" s="82"/>
      <c r="C16" s="82"/>
    </row>
    <row r="17" spans="1:1">
      <c r="A17" s="9">
        <v>45551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A532-EE07-4C9F-9900-CAAF27E58E31}">
  <dimension ref="A1:L81"/>
  <sheetViews>
    <sheetView zoomScale="90" zoomScaleNormal="90" workbookViewId="0"/>
  </sheetViews>
  <sheetFormatPr defaultColWidth="9.21875" defaultRowHeight="13.8"/>
  <cols>
    <col min="1" max="1" width="16.77734375" style="140" customWidth="1"/>
    <col min="2" max="2" width="13.109375" style="140" customWidth="1"/>
    <col min="3" max="3" width="11.44140625" style="140" customWidth="1"/>
    <col min="4" max="5" width="9.33203125" style="140" customWidth="1"/>
    <col min="6" max="8" width="7.77734375" style="140" customWidth="1"/>
    <col min="9" max="9" width="9.21875" style="140"/>
    <col min="10" max="12" width="11" style="140" bestFit="1" customWidth="1"/>
    <col min="13" max="16384" width="9.21875" style="140"/>
  </cols>
  <sheetData>
    <row r="1" spans="1:12" ht="34.5" customHeight="1">
      <c r="A1" s="180" t="s">
        <v>153</v>
      </c>
      <c r="B1" s="139" t="s">
        <v>26</v>
      </c>
      <c r="C1" s="139" t="s">
        <v>175</v>
      </c>
      <c r="D1" s="139" t="s">
        <v>21</v>
      </c>
      <c r="E1" s="139" t="s">
        <v>30</v>
      </c>
      <c r="F1" s="151"/>
      <c r="G1" s="151"/>
      <c r="H1" s="151"/>
      <c r="I1" s="151"/>
      <c r="J1" s="151"/>
      <c r="K1" s="151"/>
      <c r="L1" s="151"/>
    </row>
    <row r="2" spans="1:12">
      <c r="A2" t="s">
        <v>118</v>
      </c>
      <c r="B2" s="158">
        <v>6162.75</v>
      </c>
      <c r="C2" s="158">
        <v>3356.6</v>
      </c>
      <c r="D2" s="158">
        <v>872.91017669999985</v>
      </c>
      <c r="E2" s="158">
        <v>1429.3264914515985</v>
      </c>
      <c r="F2"/>
      <c r="G2"/>
      <c r="H2"/>
      <c r="I2"/>
      <c r="J2"/>
      <c r="K2"/>
      <c r="L2"/>
    </row>
    <row r="3" spans="1:12">
      <c r="A3" t="s">
        <v>34</v>
      </c>
      <c r="B3" s="158">
        <v>6359.19</v>
      </c>
      <c r="C3" s="158">
        <v>3313</v>
      </c>
      <c r="D3" s="158">
        <v>842.43227200000001</v>
      </c>
      <c r="E3" s="158">
        <v>1184.1439732486624</v>
      </c>
      <c r="F3"/>
      <c r="G3"/>
      <c r="H3"/>
      <c r="I3"/>
      <c r="J3"/>
      <c r="K3"/>
      <c r="L3"/>
    </row>
    <row r="4" spans="1:12">
      <c r="A4" t="s">
        <v>37</v>
      </c>
      <c r="B4" s="158">
        <v>5541.7719999999999</v>
      </c>
      <c r="C4" s="158">
        <v>3201</v>
      </c>
      <c r="D4" s="158">
        <v>794.70279860000005</v>
      </c>
      <c r="E4" s="158">
        <v>1197.1171181564243</v>
      </c>
      <c r="F4"/>
      <c r="G4"/>
      <c r="H4"/>
      <c r="I4"/>
      <c r="J4"/>
      <c r="K4"/>
      <c r="L4"/>
    </row>
    <row r="5" spans="1:12">
      <c r="A5" t="s">
        <v>54</v>
      </c>
      <c r="B5" s="158">
        <v>5890.02</v>
      </c>
      <c r="C5" s="158">
        <v>2989.5</v>
      </c>
      <c r="D5" s="158">
        <v>654.23564369999997</v>
      </c>
      <c r="E5" s="158">
        <v>1455.3466342785212</v>
      </c>
      <c r="F5"/>
      <c r="G5"/>
      <c r="H5"/>
      <c r="I5"/>
      <c r="J5"/>
      <c r="K5"/>
      <c r="L5"/>
    </row>
    <row r="6" spans="1:12">
      <c r="A6" t="s">
        <v>163</v>
      </c>
      <c r="B6" s="158">
        <v>6709.8</v>
      </c>
      <c r="C6" s="158">
        <v>3189.7216765229996</v>
      </c>
      <c r="D6" s="158">
        <v>800</v>
      </c>
      <c r="E6" s="158">
        <v>1400</v>
      </c>
      <c r="F6"/>
      <c r="G6"/>
      <c r="H6"/>
      <c r="I6"/>
      <c r="J6"/>
      <c r="K6"/>
      <c r="L6"/>
    </row>
    <row r="7" spans="1:12">
      <c r="A7"/>
      <c r="B7"/>
      <c r="C7"/>
      <c r="D7"/>
      <c r="E7"/>
      <c r="F7"/>
      <c r="G7"/>
      <c r="H7"/>
      <c r="I7"/>
      <c r="J7"/>
      <c r="K7"/>
      <c r="L7"/>
    </row>
    <row r="8" spans="1:12">
      <c r="A8" s="141"/>
      <c r="B8" s="142"/>
    </row>
    <row r="9" spans="1:12">
      <c r="A9" s="141"/>
      <c r="B9" s="142"/>
    </row>
    <row r="10" spans="1:12">
      <c r="A10" s="141"/>
      <c r="B10" s="142"/>
    </row>
    <row r="11" spans="1:12">
      <c r="A11" s="141"/>
      <c r="B11" s="142"/>
    </row>
    <row r="12" spans="1:12">
      <c r="A12" s="141"/>
      <c r="B12" s="142"/>
    </row>
    <row r="13" spans="1:12">
      <c r="A13" s="141"/>
      <c r="B13" s="142"/>
    </row>
    <row r="14" spans="1:12">
      <c r="A14" s="141"/>
      <c r="B14" s="142"/>
    </row>
    <row r="15" spans="1:12">
      <c r="A15" s="141"/>
      <c r="B15" s="142"/>
    </row>
    <row r="16" spans="1:12">
      <c r="A16" s="141"/>
      <c r="B16" s="142"/>
    </row>
    <row r="17" spans="1:2">
      <c r="A17" s="141"/>
      <c r="B17" s="142"/>
    </row>
    <row r="18" spans="1:2">
      <c r="A18" s="141"/>
      <c r="B18" s="142"/>
    </row>
    <row r="19" spans="1:2">
      <c r="A19" s="143"/>
      <c r="B19" s="143"/>
    </row>
    <row r="20" spans="1:2">
      <c r="A20" s="143"/>
      <c r="B20" s="143"/>
    </row>
    <row r="21" spans="1:2">
      <c r="A21" s="143"/>
      <c r="B21" s="143"/>
    </row>
    <row r="22" spans="1:2">
      <c r="A22" s="143"/>
      <c r="B22" s="143"/>
    </row>
    <row r="23" spans="1:2">
      <c r="A23" s="143"/>
      <c r="B23" s="143"/>
    </row>
    <row r="24" spans="1:2">
      <c r="A24" s="143"/>
      <c r="B24" s="143"/>
    </row>
    <row r="25" spans="1:2">
      <c r="A25" s="143"/>
      <c r="B25" s="143"/>
    </row>
    <row r="26" spans="1:2">
      <c r="A26" s="143"/>
      <c r="B26" s="143"/>
    </row>
    <row r="27" spans="1:2">
      <c r="A27" s="143"/>
      <c r="B27" s="143"/>
    </row>
    <row r="28" spans="1:2">
      <c r="A28" s="143"/>
      <c r="B28" s="143"/>
    </row>
    <row r="29" spans="1:2">
      <c r="A29" s="143"/>
      <c r="B29" s="143"/>
    </row>
    <row r="30" spans="1:2">
      <c r="A30" s="143"/>
      <c r="B30" s="143"/>
    </row>
    <row r="31" spans="1:2">
      <c r="A31" s="143"/>
      <c r="B31" s="143"/>
    </row>
    <row r="32" spans="1:2">
      <c r="A32" s="143"/>
      <c r="B32" s="143"/>
    </row>
    <row r="33" spans="1:2">
      <c r="A33" s="143"/>
      <c r="B33" s="143"/>
    </row>
    <row r="34" spans="1:2">
      <c r="A34" s="143"/>
      <c r="B34" s="143"/>
    </row>
    <row r="35" spans="1:2">
      <c r="A35" s="143"/>
      <c r="B35" s="143"/>
    </row>
    <row r="36" spans="1:2">
      <c r="A36" s="143"/>
      <c r="B36" s="143"/>
    </row>
    <row r="37" spans="1:2">
      <c r="A37" s="143"/>
      <c r="B37" s="143"/>
    </row>
    <row r="38" spans="1:2">
      <c r="A38" s="143"/>
      <c r="B38" s="143"/>
    </row>
    <row r="39" spans="1:2">
      <c r="A39" s="143"/>
      <c r="B39" s="143"/>
    </row>
    <row r="40" spans="1:2">
      <c r="A40" s="143"/>
      <c r="B40" s="143"/>
    </row>
    <row r="41" spans="1:2">
      <c r="A41" s="143"/>
      <c r="B41" s="143"/>
    </row>
    <row r="42" spans="1:2">
      <c r="A42" s="143"/>
      <c r="B42" s="143"/>
    </row>
    <row r="43" spans="1:2">
      <c r="A43" s="143"/>
      <c r="B43" s="143"/>
    </row>
    <row r="44" spans="1:2">
      <c r="A44" s="143"/>
      <c r="B44" s="143"/>
    </row>
    <row r="45" spans="1:2">
      <c r="A45" s="143"/>
      <c r="B45" s="143"/>
    </row>
    <row r="46" spans="1:2">
      <c r="A46" s="143"/>
      <c r="B46" s="143"/>
    </row>
    <row r="47" spans="1:2">
      <c r="A47" s="143"/>
      <c r="B47" s="143"/>
    </row>
    <row r="48" spans="1:2">
      <c r="A48" s="143"/>
      <c r="B48" s="143"/>
    </row>
    <row r="49" spans="1:2">
      <c r="A49" s="143"/>
      <c r="B49" s="143"/>
    </row>
    <row r="50" spans="1:2">
      <c r="A50" s="143"/>
      <c r="B50" s="143"/>
    </row>
    <row r="51" spans="1:2">
      <c r="A51" s="143"/>
      <c r="B51" s="143"/>
    </row>
    <row r="52" spans="1:2">
      <c r="A52" s="143"/>
      <c r="B52" s="143"/>
    </row>
    <row r="53" spans="1:2">
      <c r="A53" s="143"/>
      <c r="B53" s="143"/>
    </row>
    <row r="54" spans="1:2">
      <c r="A54" s="143"/>
      <c r="B54" s="143"/>
    </row>
    <row r="55" spans="1:2">
      <c r="A55" s="143"/>
      <c r="B55" s="143"/>
    </row>
    <row r="56" spans="1:2">
      <c r="A56" s="143"/>
      <c r="B56" s="143"/>
    </row>
    <row r="57" spans="1:2">
      <c r="A57" s="143"/>
      <c r="B57" s="143"/>
    </row>
    <row r="58" spans="1:2">
      <c r="A58" s="143"/>
      <c r="B58" s="143"/>
    </row>
    <row r="59" spans="1:2">
      <c r="A59" s="143"/>
      <c r="B59" s="143"/>
    </row>
    <row r="60" spans="1:2">
      <c r="A60" s="143"/>
      <c r="B60" s="143"/>
    </row>
    <row r="61" spans="1:2">
      <c r="A61" s="143"/>
      <c r="B61" s="143"/>
    </row>
    <row r="62" spans="1:2">
      <c r="A62" s="143"/>
      <c r="B62" s="143"/>
    </row>
    <row r="63" spans="1:2">
      <c r="A63" s="143"/>
      <c r="B63" s="143"/>
    </row>
    <row r="64" spans="1:2">
      <c r="A64" s="143"/>
      <c r="B64" s="143"/>
    </row>
    <row r="65" spans="1:2">
      <c r="A65" s="143"/>
      <c r="B65" s="143"/>
    </row>
    <row r="66" spans="1:2">
      <c r="A66" s="143"/>
      <c r="B66" s="143"/>
    </row>
    <row r="67" spans="1:2">
      <c r="A67" s="143"/>
      <c r="B67" s="143"/>
    </row>
    <row r="68" spans="1:2">
      <c r="A68" s="143"/>
      <c r="B68" s="143"/>
    </row>
    <row r="69" spans="1:2">
      <c r="A69" s="143"/>
      <c r="B69" s="143"/>
    </row>
    <row r="70" spans="1:2">
      <c r="A70" s="143"/>
      <c r="B70" s="143"/>
    </row>
    <row r="71" spans="1:2">
      <c r="A71" s="143"/>
      <c r="B71" s="143"/>
    </row>
    <row r="72" spans="1:2">
      <c r="A72" s="143"/>
      <c r="B72" s="143"/>
    </row>
    <row r="73" spans="1:2">
      <c r="A73" s="143"/>
      <c r="B73" s="143"/>
    </row>
    <row r="74" spans="1:2">
      <c r="A74" s="143"/>
      <c r="B74" s="143"/>
    </row>
    <row r="75" spans="1:2">
      <c r="A75" s="143"/>
      <c r="B75" s="143"/>
    </row>
    <row r="76" spans="1:2">
      <c r="A76" s="143"/>
      <c r="B76" s="143"/>
    </row>
    <row r="77" spans="1:2">
      <c r="A77" s="143"/>
      <c r="B77" s="143"/>
    </row>
    <row r="78" spans="1:2">
      <c r="A78" s="143"/>
      <c r="B78" s="143"/>
    </row>
    <row r="79" spans="1:2">
      <c r="A79" s="143"/>
      <c r="B79" s="143"/>
    </row>
    <row r="80" spans="1:2">
      <c r="A80" s="143"/>
      <c r="B80" s="143"/>
    </row>
    <row r="81" spans="1:2">
      <c r="A81" s="143"/>
      <c r="B81" s="14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40DC-8D9F-4E2F-962F-C1C1E066F49E}">
  <dimension ref="A1:H10"/>
  <sheetViews>
    <sheetView workbookViewId="0"/>
  </sheetViews>
  <sheetFormatPr defaultRowHeight="13.2"/>
  <cols>
    <col min="1" max="1" width="15.77734375" bestFit="1" customWidth="1"/>
    <col min="2" max="6" width="8.33203125" customWidth="1"/>
    <col min="7" max="7" width="18" customWidth="1"/>
  </cols>
  <sheetData>
    <row r="1" spans="1:8" ht="13.8">
      <c r="A1" s="166" t="s">
        <v>183</v>
      </c>
      <c r="B1" s="144"/>
      <c r="C1" s="144"/>
      <c r="D1" s="144"/>
      <c r="E1" s="144"/>
      <c r="F1" s="144"/>
      <c r="G1" s="152"/>
      <c r="H1" s="118"/>
    </row>
    <row r="2" spans="1:8" ht="27.6">
      <c r="A2" s="144" t="s">
        <v>153</v>
      </c>
      <c r="B2" s="155" t="s">
        <v>171</v>
      </c>
      <c r="C2" s="155" t="s">
        <v>172</v>
      </c>
      <c r="D2" s="155" t="s">
        <v>173</v>
      </c>
      <c r="E2" s="155" t="s">
        <v>174</v>
      </c>
      <c r="F2" s="144" t="s">
        <v>21</v>
      </c>
      <c r="G2" s="152"/>
      <c r="H2" s="118"/>
    </row>
    <row r="3" spans="1:8" ht="13.8">
      <c r="A3" s="143" t="s">
        <v>118</v>
      </c>
      <c r="B3" s="154">
        <v>8.8970000000000002</v>
      </c>
      <c r="C3" s="154">
        <v>13.269</v>
      </c>
      <c r="D3" s="154">
        <v>14.1</v>
      </c>
      <c r="E3" s="154">
        <v>12.608000000000004</v>
      </c>
      <c r="F3" s="101">
        <v>45.048999999999999</v>
      </c>
      <c r="G3" s="152"/>
      <c r="H3" s="118"/>
    </row>
    <row r="4" spans="1:8" ht="13.8">
      <c r="A4" s="143" t="s">
        <v>34</v>
      </c>
      <c r="B4" s="154">
        <v>10.327999999999999</v>
      </c>
      <c r="C4" s="154">
        <v>15.571999999999999</v>
      </c>
      <c r="D4" s="154">
        <v>17.5</v>
      </c>
      <c r="E4" s="154">
        <v>13.457999999999998</v>
      </c>
      <c r="F4" s="101">
        <v>46.722000000000001</v>
      </c>
      <c r="G4" s="146"/>
      <c r="H4" s="145"/>
    </row>
    <row r="5" spans="1:8" ht="13.8">
      <c r="A5" s="143" t="s">
        <v>37</v>
      </c>
      <c r="B5" s="154">
        <v>9.3849999999999998</v>
      </c>
      <c r="C5" s="154">
        <v>16.254000000000001</v>
      </c>
      <c r="D5" s="154">
        <v>12.2</v>
      </c>
      <c r="E5" s="154">
        <v>14.940000000000005</v>
      </c>
      <c r="F5" s="101">
        <v>51.405999999999999</v>
      </c>
      <c r="G5" s="146"/>
      <c r="H5" s="145"/>
    </row>
    <row r="6" spans="1:8" ht="13.8">
      <c r="A6" s="143" t="s">
        <v>54</v>
      </c>
      <c r="B6" s="154">
        <v>10.005000000000001</v>
      </c>
      <c r="C6" s="154">
        <v>17.100000000000001</v>
      </c>
      <c r="D6" s="154">
        <v>15.5</v>
      </c>
      <c r="E6" s="154">
        <v>13.325999999999993</v>
      </c>
      <c r="F6" s="101">
        <v>52.414000000000001</v>
      </c>
      <c r="G6" s="146"/>
      <c r="H6" s="145"/>
    </row>
    <row r="7" spans="1:8" ht="13.8">
      <c r="A7" s="143" t="s">
        <v>166</v>
      </c>
      <c r="B7" s="154">
        <v>10.15</v>
      </c>
      <c r="C7" s="154">
        <v>16</v>
      </c>
      <c r="D7" s="154">
        <v>13.5</v>
      </c>
      <c r="E7" s="154">
        <v>12.890999999999998</v>
      </c>
      <c r="F7" s="101">
        <v>48.737000000000002</v>
      </c>
      <c r="G7" s="146"/>
      <c r="H7" s="145"/>
    </row>
    <row r="8" spans="1:8" ht="13.8">
      <c r="A8" s="143" t="s">
        <v>167</v>
      </c>
      <c r="B8" s="154">
        <v>9.5</v>
      </c>
      <c r="C8" s="154">
        <v>16</v>
      </c>
      <c r="D8" s="154">
        <v>12.5</v>
      </c>
      <c r="E8" s="154">
        <v>12.552999999999997</v>
      </c>
      <c r="F8" s="101">
        <v>46.936999999999998</v>
      </c>
      <c r="G8" s="146"/>
      <c r="H8" s="145"/>
    </row>
    <row r="10" spans="1:8">
      <c r="E10" s="14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096C-F5BF-47CE-955B-8721C298A40A}">
  <dimension ref="A1:F8"/>
  <sheetViews>
    <sheetView workbookViewId="0"/>
  </sheetViews>
  <sheetFormatPr defaultRowHeight="13.2"/>
  <cols>
    <col min="1" max="1" width="15.77734375" bestFit="1" customWidth="1"/>
    <col min="2" max="2" width="11.44140625" customWidth="1"/>
    <col min="3" max="3" width="13.33203125" customWidth="1"/>
    <col min="4" max="4" width="18" customWidth="1"/>
    <col min="5" max="5" width="16.21875" customWidth="1"/>
    <col min="6" max="6" width="15.109375" customWidth="1"/>
  </cols>
  <sheetData>
    <row r="1" spans="1:6" ht="13.8">
      <c r="A1" s="166" t="s">
        <v>180</v>
      </c>
      <c r="B1" s="144"/>
      <c r="C1" s="144"/>
      <c r="D1" s="152"/>
      <c r="E1" s="118"/>
    </row>
    <row r="2" spans="1:6" ht="28.2" thickBot="1">
      <c r="A2" s="153" t="s">
        <v>168</v>
      </c>
      <c r="B2" s="177" t="s">
        <v>176</v>
      </c>
      <c r="C2" s="177" t="s">
        <v>177</v>
      </c>
      <c r="D2" s="177" t="s">
        <v>178</v>
      </c>
      <c r="E2" s="178" t="s">
        <v>179</v>
      </c>
      <c r="F2" s="179" t="s">
        <v>170</v>
      </c>
    </row>
    <row r="3" spans="1:6">
      <c r="A3" s="83" t="s">
        <v>169</v>
      </c>
      <c r="B3">
        <v>568</v>
      </c>
      <c r="C3">
        <v>211</v>
      </c>
      <c r="D3">
        <v>440</v>
      </c>
      <c r="E3">
        <v>211</v>
      </c>
      <c r="F3" s="165">
        <v>1430</v>
      </c>
    </row>
    <row r="4" spans="1:6">
      <c r="A4" t="s">
        <v>159</v>
      </c>
      <c r="B4">
        <v>575</v>
      </c>
      <c r="C4">
        <v>373</v>
      </c>
      <c r="D4">
        <v>550</v>
      </c>
      <c r="E4">
        <v>645</v>
      </c>
      <c r="F4" s="158">
        <v>2143</v>
      </c>
    </row>
    <row r="5" spans="1:6">
      <c r="A5" s="83" t="s">
        <v>160</v>
      </c>
      <c r="B5" s="83">
        <v>600</v>
      </c>
      <c r="C5" s="83">
        <v>343</v>
      </c>
      <c r="D5" s="83">
        <v>563</v>
      </c>
      <c r="E5" s="83">
        <v>328</v>
      </c>
      <c r="F5" s="165">
        <v>1834</v>
      </c>
    </row>
    <row r="6" spans="1:6">
      <c r="A6" t="s">
        <v>161</v>
      </c>
      <c r="B6">
        <v>495</v>
      </c>
      <c r="C6">
        <v>413</v>
      </c>
      <c r="D6">
        <v>613</v>
      </c>
      <c r="E6">
        <v>602</v>
      </c>
      <c r="F6" s="158">
        <v>2123</v>
      </c>
    </row>
    <row r="7" spans="1:6">
      <c r="A7" t="s">
        <v>181</v>
      </c>
      <c r="B7">
        <v>575</v>
      </c>
      <c r="C7">
        <v>343</v>
      </c>
      <c r="D7">
        <v>596</v>
      </c>
      <c r="E7">
        <v>314</v>
      </c>
      <c r="F7" s="158">
        <v>1828</v>
      </c>
    </row>
    <row r="8" spans="1:6">
      <c r="A8" t="s">
        <v>182</v>
      </c>
      <c r="B8">
        <v>475</v>
      </c>
      <c r="C8">
        <v>380</v>
      </c>
      <c r="D8">
        <v>596</v>
      </c>
      <c r="E8">
        <v>274</v>
      </c>
      <c r="F8" s="158">
        <v>1725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9"/>
  <sheetViews>
    <sheetView showGridLines="0" zoomScale="70" zoomScaleNormal="70" workbookViewId="0"/>
  </sheetViews>
  <sheetFormatPr defaultColWidth="9.21875" defaultRowHeight="13.2"/>
  <cols>
    <col min="1" max="1" width="21.5546875" customWidth="1"/>
    <col min="2" max="2" width="14.2187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77734375" customWidth="1"/>
    <col min="8" max="8" width="18.7773437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218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14"/>
      <c r="D2" s="17" t="s">
        <v>14</v>
      </c>
      <c r="E2" s="18"/>
      <c r="F2" s="114" t="s">
        <v>15</v>
      </c>
      <c r="G2" s="114"/>
      <c r="H2" s="114"/>
      <c r="I2" s="15"/>
      <c r="J2" s="18"/>
      <c r="K2" s="114"/>
      <c r="L2" s="19" t="s">
        <v>16</v>
      </c>
      <c r="M2" s="114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16" t="s">
        <v>31</v>
      </c>
      <c r="C5" s="115"/>
      <c r="D5" s="27" t="s">
        <v>32</v>
      </c>
      <c r="G5" s="116"/>
      <c r="I5" s="116"/>
      <c r="J5" s="116" t="s">
        <v>33</v>
      </c>
      <c r="K5" s="116"/>
      <c r="L5" s="116"/>
      <c r="M5" s="116"/>
      <c r="N5" s="116"/>
      <c r="W5" s="26"/>
    </row>
    <row r="6" spans="1:23" ht="16.5" customHeight="1">
      <c r="A6" s="15" t="s">
        <v>37</v>
      </c>
      <c r="B6" s="122">
        <v>87.45</v>
      </c>
      <c r="C6" s="122">
        <v>86.174000000000007</v>
      </c>
      <c r="D6" s="122">
        <f>F6/C6</f>
        <v>49.555329913895143</v>
      </c>
      <c r="E6" s="123">
        <v>274.39400000000001</v>
      </c>
      <c r="F6" s="124">
        <v>4270.3810000000003</v>
      </c>
      <c r="G6" s="125">
        <f>G27</f>
        <v>24.510413516181998</v>
      </c>
      <c r="H6" s="125">
        <f>SUM(E6:G6)</f>
        <v>4569.2854135161824</v>
      </c>
      <c r="I6" s="15"/>
      <c r="J6" s="124">
        <f>J27</f>
        <v>2211.9384453555185</v>
      </c>
      <c r="K6" s="124">
        <f>M6-L6-J6</f>
        <v>113.61885067909361</v>
      </c>
      <c r="L6" s="125">
        <f>L27</f>
        <v>1979.5441174815701</v>
      </c>
      <c r="M6" s="125">
        <f>H6-N6</f>
        <v>4305.1014135161822</v>
      </c>
      <c r="N6" s="125">
        <v>264.18400000000003</v>
      </c>
    </row>
    <row r="7" spans="1:23" ht="16.5" customHeight="1">
      <c r="A7" s="15" t="s">
        <v>155</v>
      </c>
      <c r="B7" s="122">
        <v>83.6</v>
      </c>
      <c r="C7" s="122">
        <v>82.355999999999995</v>
      </c>
      <c r="D7" s="122">
        <f>F7/C7</f>
        <v>50.569199572587301</v>
      </c>
      <c r="E7" s="123">
        <f>N6</f>
        <v>264.18400000000003</v>
      </c>
      <c r="F7" s="124">
        <v>4164.6769999999997</v>
      </c>
      <c r="G7" s="125">
        <v>20</v>
      </c>
      <c r="H7" s="125">
        <f>SUM(E7:G7)</f>
        <v>4448.8609999999999</v>
      </c>
      <c r="I7" s="15"/>
      <c r="J7" s="124">
        <v>2295</v>
      </c>
      <c r="K7" s="167">
        <v>113.79</v>
      </c>
      <c r="L7" s="125">
        <v>1700</v>
      </c>
      <c r="M7" s="125">
        <f>SUM(J7:L7)</f>
        <v>4108.79</v>
      </c>
      <c r="N7" s="125">
        <f>H7-M7</f>
        <v>340.07099999999991</v>
      </c>
      <c r="P7" s="168"/>
    </row>
    <row r="8" spans="1:23" ht="16.5" customHeight="1">
      <c r="A8" s="15" t="s">
        <v>156</v>
      </c>
      <c r="B8" s="122">
        <v>87.1</v>
      </c>
      <c r="C8" s="122">
        <v>86.271000000000001</v>
      </c>
      <c r="D8" s="122">
        <f>F8/C8</f>
        <v>53.1567850146631</v>
      </c>
      <c r="E8" s="123">
        <f>N7</f>
        <v>340.07099999999991</v>
      </c>
      <c r="F8" s="124">
        <v>4585.8890000000001</v>
      </c>
      <c r="G8" s="125">
        <v>15</v>
      </c>
      <c r="H8" s="125">
        <f>SUM(E8:G8)</f>
        <v>4940.96</v>
      </c>
      <c r="I8" s="15"/>
      <c r="J8" s="124">
        <v>2425</v>
      </c>
      <c r="K8" s="167">
        <v>116.08</v>
      </c>
      <c r="L8" s="125">
        <v>1850</v>
      </c>
      <c r="M8" s="125">
        <f>SUM(J8:L8)</f>
        <v>4391.08</v>
      </c>
      <c r="N8" s="125">
        <f>H8-M8</f>
        <v>549.88000000000011</v>
      </c>
      <c r="P8" s="168"/>
      <c r="Q8" s="168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37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20"/>
      <c r="S10" s="121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(31758.1*36.74371)/1000000</f>
        <v>1.166910416551</v>
      </c>
      <c r="H11" s="13"/>
      <c r="I11" s="83"/>
      <c r="J11" s="6">
        <f>((5028287*0.907185)*36.74371)/1000000</f>
        <v>167.60961304264146</v>
      </c>
      <c r="K11" s="31"/>
      <c r="L11" s="6">
        <f>(2077837.3*36.74371)/1000000</f>
        <v>76.347451178383011</v>
      </c>
      <c r="M11" s="6"/>
      <c r="N11" s="13"/>
      <c r="Q11" s="86"/>
      <c r="R11" s="120"/>
      <c r="S11" s="121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(33827.2*36.74371)/1000000</f>
        <v>1.2429368269119998</v>
      </c>
      <c r="H12" s="13"/>
      <c r="I12" s="83"/>
      <c r="J12" s="6">
        <f>((5899694*0.907185)*36.74371)/1000000</f>
        <v>196.65652107964277</v>
      </c>
      <c r="K12" s="31"/>
      <c r="L12" s="6">
        <f>(9946822.5*36.74371)/1000000</f>
        <v>365.48316136147497</v>
      </c>
      <c r="M12" s="6"/>
      <c r="N12" s="13"/>
      <c r="Q12" s="86"/>
      <c r="R12" s="120"/>
      <c r="S12" s="121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(35058.7*36.74371)/1000000</f>
        <v>1.288186705777</v>
      </c>
      <c r="H13" s="13"/>
      <c r="I13" s="83"/>
      <c r="J13" s="6">
        <f>((5687098*0.907185)*36.74371)/1000000</f>
        <v>189.56998578553299</v>
      </c>
      <c r="K13" s="31"/>
      <c r="L13" s="6">
        <f>(9755010.4*36.74371)/1000000</f>
        <v>358.43527318458405</v>
      </c>
      <c r="M13" s="6"/>
      <c r="N13" s="13"/>
      <c r="Q13" s="86"/>
      <c r="R13" s="120"/>
      <c r="S13" s="120"/>
    </row>
    <row r="14" spans="1:23" ht="16.5" customHeight="1">
      <c r="A14" s="15" t="s">
        <v>41</v>
      </c>
      <c r="B14" s="83"/>
      <c r="C14" s="83"/>
      <c r="D14" s="83"/>
      <c r="E14" s="32">
        <f>E6</f>
        <v>274.39400000000001</v>
      </c>
      <c r="F14" s="32">
        <v>4270.3810000000003</v>
      </c>
      <c r="G14" s="6">
        <f>SUM(G11:G13)</f>
        <v>3.6980339492400001</v>
      </c>
      <c r="H14" s="13">
        <f>SUM(E14:G14)</f>
        <v>4548.4730339492407</v>
      </c>
      <c r="I14" s="83"/>
      <c r="J14" s="6">
        <f>SUM(J11:J13)</f>
        <v>553.83611990781719</v>
      </c>
      <c r="K14" s="31">
        <f>M14-L14-J14</f>
        <v>173.21902831698151</v>
      </c>
      <c r="L14" s="6">
        <f>SUM(L11:L13)</f>
        <v>800.265885724442</v>
      </c>
      <c r="M14" s="6">
        <f>H14-N14</f>
        <v>1527.3210339492407</v>
      </c>
      <c r="N14" s="13">
        <f>3021.152</f>
        <v>3021.152</v>
      </c>
      <c r="R14" s="120"/>
      <c r="S14" s="120"/>
    </row>
    <row r="15" spans="1:23" ht="16.5" customHeight="1">
      <c r="A15" s="15" t="s">
        <v>42</v>
      </c>
      <c r="B15" s="83"/>
      <c r="C15" s="83"/>
      <c r="D15" s="83"/>
      <c r="E15" s="32"/>
      <c r="F15" s="88"/>
      <c r="G15" s="6">
        <f>(36010.8*36.74371)/1000000</f>
        <v>1.323170392068</v>
      </c>
      <c r="H15" s="13"/>
      <c r="I15" s="83"/>
      <c r="J15" s="6">
        <f>((5622561*0.907185)*36.74371)/1000000</f>
        <v>187.41875185697378</v>
      </c>
      <c r="K15" s="31"/>
      <c r="L15" s="6">
        <f>(7967680.1*36.74371)/1000000</f>
        <v>292.76212696717101</v>
      </c>
      <c r="M15" s="6"/>
      <c r="N15" s="13"/>
      <c r="R15" s="120"/>
      <c r="S15" s="120"/>
    </row>
    <row r="16" spans="1:23" ht="16.5" customHeight="1">
      <c r="A16" s="15" t="s">
        <v>43</v>
      </c>
      <c r="B16" s="83"/>
      <c r="C16" s="83"/>
      <c r="D16" s="83"/>
      <c r="E16" s="32"/>
      <c r="F16" s="88"/>
      <c r="G16" s="6">
        <f>(5893*36.74371)/1000000</f>
        <v>0.21653068303</v>
      </c>
      <c r="H16" s="13"/>
      <c r="I16" s="83"/>
      <c r="J16" s="6">
        <f>((5734398*0.907185)*36.74371)/1000000</f>
        <v>191.14665288844833</v>
      </c>
      <c r="K16" s="31"/>
      <c r="L16" s="6">
        <f>(8247678.8*36.74371)/1000000</f>
        <v>303.050318000348</v>
      </c>
      <c r="M16" s="6"/>
      <c r="N16" s="13"/>
      <c r="R16" s="120"/>
      <c r="S16" s="120"/>
    </row>
    <row r="17" spans="1:24" ht="16.5" customHeight="1">
      <c r="A17" s="15" t="s">
        <v>44</v>
      </c>
      <c r="B17" s="83"/>
      <c r="C17" s="83"/>
      <c r="D17" s="83"/>
      <c r="E17" s="32"/>
      <c r="F17" s="88"/>
      <c r="G17" s="6">
        <f>(27761.8*36.7371)/1000000</f>
        <v>1.0198880227799998</v>
      </c>
      <c r="H17" s="13"/>
      <c r="I17" s="83"/>
      <c r="J17" s="6">
        <f>((5306995*0.907185)*36.74371)/1000000</f>
        <v>176.89988227983665</v>
      </c>
      <c r="K17" s="31"/>
      <c r="L17" s="6">
        <f>(5470551.7*36.74371)/1000000</f>
        <v>201.00836520480701</v>
      </c>
      <c r="M17" s="6"/>
      <c r="N17" s="13"/>
      <c r="Q17" s="86"/>
      <c r="R17" s="120"/>
      <c r="S17" s="120"/>
    </row>
    <row r="18" spans="1:24" ht="16.5" customHeight="1">
      <c r="A18" s="15" t="s">
        <v>45</v>
      </c>
      <c r="B18" s="83"/>
      <c r="C18" s="83"/>
      <c r="D18" s="83"/>
      <c r="E18" s="32">
        <f>N14</f>
        <v>3021.152</v>
      </c>
      <c r="F18" s="88"/>
      <c r="G18" s="6">
        <f>SUM(G15:G17)</f>
        <v>2.5595890978779998</v>
      </c>
      <c r="H18" s="13">
        <f>SUM(E18:G18)</f>
        <v>3023.711589097878</v>
      </c>
      <c r="I18" s="83"/>
      <c r="J18" s="6">
        <f>SUM(J15:J17)</f>
        <v>555.46528702525882</v>
      </c>
      <c r="K18" s="31">
        <f>M18-L18-J18</f>
        <v>-15.206508099706866</v>
      </c>
      <c r="L18" s="6">
        <f>SUM(L15:L17)</f>
        <v>796.82081017232599</v>
      </c>
      <c r="M18" s="6">
        <f>H18-N18</f>
        <v>1337.0795890978779</v>
      </c>
      <c r="N18" s="13">
        <f>1686.632</f>
        <v>1686.6320000000001</v>
      </c>
      <c r="P18" s="34"/>
      <c r="R18" s="120"/>
      <c r="S18" s="120"/>
    </row>
    <row r="19" spans="1:24" ht="16.5" customHeight="1">
      <c r="A19" s="15" t="s">
        <v>46</v>
      </c>
      <c r="B19" s="83"/>
      <c r="C19" s="83"/>
      <c r="D19" s="83"/>
      <c r="E19" s="32"/>
      <c r="F19" s="88"/>
      <c r="G19" s="6">
        <f>(34750.8*36.74371)/1000000</f>
        <v>1.276873317468</v>
      </c>
      <c r="H19" s="13"/>
      <c r="I19" s="83"/>
      <c r="J19" s="6">
        <f>((5939012*0.907185)*36.74371)/1000000</f>
        <v>197.96712144227334</v>
      </c>
      <c r="K19" s="31"/>
      <c r="L19" s="6">
        <f>(3094585.1*36.74371)/1000000</f>
        <v>113.70653748472101</v>
      </c>
      <c r="M19" s="6"/>
      <c r="N19" s="13"/>
      <c r="Q19" s="86"/>
      <c r="R19" s="120"/>
      <c r="S19" s="120"/>
    </row>
    <row r="20" spans="1:24" ht="16.5" customHeight="1">
      <c r="A20" s="15" t="s">
        <v>47</v>
      </c>
      <c r="B20" s="83"/>
      <c r="C20" s="83"/>
      <c r="D20" s="83"/>
      <c r="E20" s="32"/>
      <c r="F20" s="88"/>
      <c r="G20" s="6">
        <f>(8469.7*36.74371)/1000000</f>
        <v>0.31120820058699999</v>
      </c>
      <c r="H20" s="13"/>
      <c r="I20" s="83"/>
      <c r="J20" s="6">
        <f>((5609607*0.907185)*36.74371)/1000000</f>
        <v>186.98695173749888</v>
      </c>
      <c r="K20" s="31"/>
      <c r="L20" s="6">
        <f>(2512608.1*36.74371)/1000000</f>
        <v>92.322543370050994</v>
      </c>
      <c r="M20" s="6"/>
      <c r="N20" s="13"/>
      <c r="R20" s="120"/>
      <c r="S20" s="120"/>
    </row>
    <row r="21" spans="1:24" ht="16.5" customHeight="1">
      <c r="A21" s="15" t="s">
        <v>48</v>
      </c>
      <c r="B21" s="83"/>
      <c r="C21" s="83"/>
      <c r="D21" s="83"/>
      <c r="E21" s="32"/>
      <c r="F21" s="88"/>
      <c r="G21" s="6">
        <f>(127008.2*36.74371)/1000000</f>
        <v>4.6667524684220005</v>
      </c>
      <c r="H21" s="13"/>
      <c r="I21" s="83"/>
      <c r="J21" s="6">
        <f>((5679096*0.907185)*36.74371)/1000000</f>
        <v>189.30325237839708</v>
      </c>
      <c r="K21" s="31"/>
      <c r="L21" s="6">
        <f>(996214.9*36.74371)/1000000</f>
        <v>36.604631383279006</v>
      </c>
      <c r="M21" s="6"/>
      <c r="N21" s="13"/>
      <c r="P21" s="83"/>
      <c r="Q21" s="86"/>
      <c r="R21" s="120"/>
      <c r="S21" s="120"/>
    </row>
    <row r="22" spans="1:24" ht="16.5" customHeight="1">
      <c r="A22" s="15" t="s">
        <v>49</v>
      </c>
      <c r="B22" s="83"/>
      <c r="C22" s="83"/>
      <c r="D22" s="83"/>
      <c r="E22" s="32">
        <f>N18</f>
        <v>1686.6320000000001</v>
      </c>
      <c r="F22" s="88"/>
      <c r="G22" s="6">
        <f>SUM(G19:G21)</f>
        <v>6.2548339864770011</v>
      </c>
      <c r="H22" s="13">
        <f>SUM(E22:G22)</f>
        <v>1692.8868339864771</v>
      </c>
      <c r="I22" s="83"/>
      <c r="J22" s="6">
        <f>SUM(J19:J21)</f>
        <v>574.25732555816921</v>
      </c>
      <c r="K22" s="31">
        <f>M22-L22-J22</f>
        <v>79.607796190256749</v>
      </c>
      <c r="L22" s="6">
        <f>SUM(L19:L21)</f>
        <v>242.63371223805103</v>
      </c>
      <c r="M22" s="6">
        <f>H22-N22</f>
        <v>896.49883398647705</v>
      </c>
      <c r="N22" s="13">
        <v>796.38800000000003</v>
      </c>
      <c r="P22" s="83"/>
    </row>
    <row r="23" spans="1:24" ht="16.5" customHeight="1">
      <c r="A23" s="15" t="s">
        <v>50</v>
      </c>
      <c r="B23" s="83"/>
      <c r="C23" s="83"/>
      <c r="D23" s="83"/>
      <c r="E23" s="32"/>
      <c r="F23" s="88"/>
      <c r="G23" s="6">
        <f>(166684.6*36.744)/1000000</f>
        <v>6.1246589424</v>
      </c>
      <c r="H23" s="13"/>
      <c r="I23" s="83"/>
      <c r="J23" s="6">
        <f>((5236516*0.907185)*36.74371)/1000000</f>
        <v>174.55058162980768</v>
      </c>
      <c r="K23" s="31"/>
      <c r="L23" s="6">
        <f>(823622.5*36.74371)/1000000</f>
        <v>30.262946289475</v>
      </c>
      <c r="M23" s="6"/>
      <c r="N23" s="13"/>
    </row>
    <row r="24" spans="1:24" ht="16.5" customHeight="1">
      <c r="A24" s="15" t="s">
        <v>51</v>
      </c>
      <c r="B24" s="83"/>
      <c r="C24" s="83"/>
      <c r="D24" s="83"/>
      <c r="E24" s="32"/>
      <c r="F24" s="88"/>
      <c r="G24" s="6">
        <f>(114331.7*36.74371)/1000000</f>
        <v>4.2009708286069998</v>
      </c>
      <c r="H24" s="13"/>
      <c r="I24" s="83"/>
      <c r="J24" s="6">
        <f>((5545001*0.907185)*36.74371)/1000000</f>
        <v>184.83341780830332</v>
      </c>
      <c r="K24" s="31"/>
      <c r="L24" s="6">
        <f>(1276967.3*36.74371)/1000000</f>
        <v>46.920516150683</v>
      </c>
      <c r="M24" s="6"/>
      <c r="N24" s="13"/>
      <c r="Q24" s="86"/>
    </row>
    <row r="25" spans="1:24" ht="16.5" customHeight="1">
      <c r="A25" s="15" t="s">
        <v>52</v>
      </c>
      <c r="B25" s="83"/>
      <c r="C25" s="83"/>
      <c r="D25" s="83"/>
      <c r="E25" s="32"/>
      <c r="F25" s="88"/>
      <c r="G25" s="6">
        <f>(45509.7*36.74371)/1000000</f>
        <v>1.672195218987</v>
      </c>
      <c r="H25" s="13"/>
      <c r="I25" s="83"/>
      <c r="J25" s="6">
        <f>((5069870*0.907185)*36.74371)/1000000</f>
        <v>168.99571342616218</v>
      </c>
      <c r="K25" s="31"/>
      <c r="L25" s="6">
        <f>(1704788.5*36.74371)/1000000</f>
        <v>62.640254255335002</v>
      </c>
      <c r="M25" s="6"/>
      <c r="N25" s="13"/>
    </row>
    <row r="26" spans="1:24" ht="16.5" customHeight="1">
      <c r="A26" s="15" t="s">
        <v>53</v>
      </c>
      <c r="B26" s="83"/>
      <c r="C26" s="83"/>
      <c r="D26" s="83"/>
      <c r="E26" s="32">
        <f>N22</f>
        <v>796.38800000000003</v>
      </c>
      <c r="F26" s="88"/>
      <c r="G26" s="6">
        <f>SUM(G23:G25)</f>
        <v>11.997824989993999</v>
      </c>
      <c r="H26" s="13">
        <f>SUM(E26:G26)</f>
        <v>808.38582498999403</v>
      </c>
      <c r="I26" s="83"/>
      <c r="J26" s="6">
        <f>SUM(J23:J25)</f>
        <v>528.37971286427319</v>
      </c>
      <c r="K26" s="31">
        <f>M26-J26-L26</f>
        <v>-124.00160456977213</v>
      </c>
      <c r="L26" s="6">
        <f>SUM(L23:L25)</f>
        <v>139.823716695493</v>
      </c>
      <c r="M26" s="6">
        <f>H26-N26</f>
        <v>544.20182498999407</v>
      </c>
      <c r="N26" s="101">
        <v>264.18400000000003</v>
      </c>
    </row>
    <row r="27" spans="1:24" ht="16.5" customHeight="1">
      <c r="A27" s="15" t="s">
        <v>28</v>
      </c>
      <c r="B27" s="83"/>
      <c r="C27" s="83"/>
      <c r="D27" s="83"/>
      <c r="E27" s="32"/>
      <c r="F27" s="88"/>
      <c r="G27" s="104">
        <f>(667064.2*36.74371)/1000000</f>
        <v>24.510413516181998</v>
      </c>
      <c r="H27" s="94"/>
      <c r="I27" s="95"/>
      <c r="J27" s="6">
        <f>SUM(J14,J18,J22,J26)</f>
        <v>2211.9384453555185</v>
      </c>
      <c r="K27" s="96"/>
      <c r="L27" s="6">
        <f>(53874367*36.74371)/1000000</f>
        <v>1979.5441174815701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54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8"/>
      <c r="X29" s="99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(37479.5*36.74371)/1000000</f>
        <v>1.3771358789450001</v>
      </c>
      <c r="H30" s="13"/>
      <c r="I30" s="83"/>
      <c r="J30" s="6">
        <f>((5242931*0.907185)*36.74371)/1000000</f>
        <v>174.76441502230665</v>
      </c>
      <c r="K30" s="31"/>
      <c r="L30" s="6">
        <f>(2498517*36.74371)/1000000</f>
        <v>91.80478407807</v>
      </c>
      <c r="M30" s="6"/>
      <c r="N30" s="13"/>
      <c r="T30" s="97"/>
    </row>
    <row r="31" spans="1:24" ht="16.5" customHeight="1">
      <c r="A31" s="15" t="s">
        <v>39</v>
      </c>
      <c r="B31" s="83"/>
      <c r="C31" s="83"/>
      <c r="D31" s="83"/>
      <c r="E31" s="32"/>
      <c r="F31" s="32"/>
      <c r="G31" s="6">
        <f>(19292.3*36.74371)/1000000</f>
        <v>0.70887067643300006</v>
      </c>
      <c r="H31" s="13"/>
      <c r="I31" s="83"/>
      <c r="J31" s="6">
        <f>((6041685*0.907185)*36.74371)/1000000</f>
        <v>201.38955572256145</v>
      </c>
      <c r="K31" s="31"/>
      <c r="L31" s="6">
        <f>(9422340.2*36.74371)/1000000</f>
        <v>346.21173583014195</v>
      </c>
      <c r="M31" s="6"/>
      <c r="N31" s="13"/>
      <c r="T31" s="97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6">
        <f>(46381*36.74371)/1000000</f>
        <v>1.70421001351</v>
      </c>
      <c r="H32" s="13"/>
      <c r="I32" s="83"/>
      <c r="J32" s="6">
        <f>((6002708*0.907185)*36.74371)/1000000</f>
        <v>200.09032202974259</v>
      </c>
      <c r="K32" s="31"/>
      <c r="L32" s="6">
        <f>(7462119.8*36.74371)/1000000</f>
        <v>274.18596591645803</v>
      </c>
      <c r="M32" s="6"/>
      <c r="N32" s="108"/>
      <c r="T32" s="97"/>
    </row>
    <row r="33" spans="1:20" ht="16.5" customHeight="1">
      <c r="A33" s="15" t="s">
        <v>41</v>
      </c>
      <c r="B33" s="83"/>
      <c r="C33" s="83"/>
      <c r="D33" s="83"/>
      <c r="E33" s="32">
        <f>N26</f>
        <v>264.18400000000003</v>
      </c>
      <c r="F33" s="32">
        <v>4164.6769999999997</v>
      </c>
      <c r="G33" s="6">
        <f>SUM(G30:G32)</f>
        <v>3.7902165688880003</v>
      </c>
      <c r="H33" s="13">
        <f>SUM(E33:G33)</f>
        <v>4432.6512165688882</v>
      </c>
      <c r="I33" s="83"/>
      <c r="J33" s="6">
        <f>SUM(J30:J32)</f>
        <v>576.2442927746107</v>
      </c>
      <c r="K33" s="31">
        <f>M33-L33-J33</f>
        <v>143.48543796960746</v>
      </c>
      <c r="L33" s="6">
        <f>SUM(L30:L32)</f>
        <v>712.20248582467002</v>
      </c>
      <c r="M33" s="6">
        <f>H33-N33</f>
        <v>1431.9322165688882</v>
      </c>
      <c r="N33" s="109">
        <v>3000.7190000000001</v>
      </c>
      <c r="T33" s="97"/>
    </row>
    <row r="34" spans="1:20" ht="16.5" customHeight="1">
      <c r="A34" s="15" t="s">
        <v>42</v>
      </c>
      <c r="B34" s="83"/>
      <c r="C34" s="83"/>
      <c r="D34" s="83"/>
      <c r="E34" s="32"/>
      <c r="F34" s="32"/>
      <c r="G34" s="6">
        <f>(18649.8*36.74371)/1000000</f>
        <v>0.68526284275799998</v>
      </c>
      <c r="H34" s="13"/>
      <c r="I34" s="83"/>
      <c r="J34" s="6">
        <f>((6128558*0.907185)*36.74371)/1000000</f>
        <v>204.28532319045925</v>
      </c>
      <c r="K34" s="31"/>
      <c r="L34" s="6">
        <f>(4738450.9*36.74371)/1000000</f>
        <v>174.10826571883902</v>
      </c>
      <c r="M34" s="6"/>
      <c r="N34" s="109"/>
      <c r="T34" s="97"/>
    </row>
    <row r="35" spans="1:20" ht="16.5" customHeight="1">
      <c r="A35" s="15" t="s">
        <v>43</v>
      </c>
      <c r="B35" s="83"/>
      <c r="C35" s="83"/>
      <c r="D35" s="83"/>
      <c r="E35" s="32"/>
      <c r="F35" s="32"/>
      <c r="G35" s="6">
        <f>(25838.2*36.74371)/1000000</f>
        <v>0.94939132772200008</v>
      </c>
      <c r="H35" s="13"/>
      <c r="I35" s="83"/>
      <c r="J35" s="6">
        <f>((5844947*0.907185)*36.74371)/1000000</f>
        <v>194.83162057471029</v>
      </c>
      <c r="K35" s="31"/>
      <c r="L35" s="6">
        <f>(5961252*36.74371)/1000000</f>
        <v>219.03851472491999</v>
      </c>
      <c r="M35" s="6"/>
      <c r="N35" s="109"/>
      <c r="T35" s="97"/>
    </row>
    <row r="36" spans="1:20" ht="16.5" customHeight="1">
      <c r="A36" s="15" t="s">
        <v>44</v>
      </c>
      <c r="B36" s="83"/>
      <c r="C36" s="83"/>
      <c r="D36" s="83"/>
      <c r="E36" s="32"/>
      <c r="F36" s="32"/>
      <c r="G36" s="6">
        <f>(24300.7*36.74371)/1000000</f>
        <v>0.89289787359700001</v>
      </c>
      <c r="H36" s="13"/>
      <c r="I36" s="83"/>
      <c r="J36" s="6">
        <f>((5817974*0.907185)*36.74371)/1000000</f>
        <v>193.93252032593784</v>
      </c>
      <c r="K36" s="31"/>
      <c r="L36" s="6">
        <f>(5263949.5*36.74371)/1000000</f>
        <v>193.417033882645</v>
      </c>
      <c r="M36" s="6"/>
      <c r="N36" s="109"/>
      <c r="T36" s="97"/>
    </row>
    <row r="37" spans="1:20" ht="16.5" customHeight="1">
      <c r="A37" s="15" t="s">
        <v>45</v>
      </c>
      <c r="B37" s="83"/>
      <c r="C37" s="83"/>
      <c r="D37" s="83"/>
      <c r="E37" s="32">
        <f>N33</f>
        <v>3000.7190000000001</v>
      </c>
      <c r="F37" s="32"/>
      <c r="G37" s="6">
        <f>SUM(G34:G36)</f>
        <v>2.5275520440770003</v>
      </c>
      <c r="H37" s="13">
        <f>SUM(E37:G37)</f>
        <v>3003.2465520440769</v>
      </c>
      <c r="I37" s="83"/>
      <c r="J37" s="6">
        <f>SUM(J34:J36)</f>
        <v>593.04946409110744</v>
      </c>
      <c r="K37" s="31">
        <f>M37-L37-J37</f>
        <v>-21.445726373434468</v>
      </c>
      <c r="L37" s="6">
        <f>SUM(L34:L36)</f>
        <v>586.56381432640399</v>
      </c>
      <c r="M37" s="6">
        <f>H37-N37</f>
        <v>1158.167552044077</v>
      </c>
      <c r="N37" s="109">
        <v>1845.079</v>
      </c>
      <c r="T37" s="97"/>
    </row>
    <row r="38" spans="1:20" ht="16.5" customHeight="1">
      <c r="A38" s="15" t="s">
        <v>46</v>
      </c>
      <c r="B38" s="83"/>
      <c r="C38" s="83"/>
      <c r="D38" s="83"/>
      <c r="E38" s="32"/>
      <c r="F38" s="32"/>
      <c r="G38" s="6">
        <f>(144280.7*36.74371)/1000000</f>
        <v>5.3014081993970006</v>
      </c>
      <c r="H38" s="13"/>
      <c r="I38" s="83"/>
      <c r="J38" s="6">
        <f>((6111759*0.907185)*36.74371)/1000000</f>
        <v>203.72535636885513</v>
      </c>
      <c r="K38" s="31"/>
      <c r="L38" s="6">
        <f>(3054246.9*36.74371)/1000000</f>
        <v>112.22436236199898</v>
      </c>
      <c r="M38" s="6"/>
      <c r="N38" s="109"/>
      <c r="T38" s="97"/>
    </row>
    <row r="39" spans="1:20" ht="16.5" customHeight="1">
      <c r="A39" s="15" t="s">
        <v>47</v>
      </c>
      <c r="B39" s="83"/>
      <c r="C39" s="83"/>
      <c r="D39" s="83"/>
      <c r="E39" s="32"/>
      <c r="F39" s="32"/>
      <c r="G39" s="6">
        <f>(57199.7*36.74371)/1000000</f>
        <v>2.101729188887</v>
      </c>
      <c r="H39" s="13"/>
      <c r="I39" s="83"/>
      <c r="J39" s="6">
        <f>((5332051*0.907185)*36.74371)/1000000</f>
        <v>177.73508251092858</v>
      </c>
      <c r="K39" s="31"/>
      <c r="L39" s="6">
        <f>(1769751.6*36.74371)/1000000</f>
        <v>65.027239562436009</v>
      </c>
      <c r="M39" s="6"/>
      <c r="N39" s="109"/>
      <c r="T39" s="97"/>
    </row>
    <row r="40" spans="1:20" ht="16.5" customHeight="1">
      <c r="A40" s="15" t="s">
        <v>48</v>
      </c>
      <c r="B40" s="83"/>
      <c r="C40" s="83"/>
      <c r="D40" s="83"/>
      <c r="E40" s="32"/>
      <c r="F40" s="32"/>
      <c r="G40" s="6">
        <f>(32603.2*36.74371)/1000000</f>
        <v>1.1979625258719999</v>
      </c>
      <c r="H40" s="13"/>
      <c r="I40" s="83"/>
      <c r="J40" s="6">
        <f>((5754152*0.907185)*36.74371)/1000000</f>
        <v>191.80511973730648</v>
      </c>
      <c r="K40" s="31"/>
      <c r="L40" s="6">
        <f>(1410073.2*36.74371)/1000000</f>
        <v>51.811320739571997</v>
      </c>
      <c r="M40" s="6"/>
      <c r="N40" s="109"/>
      <c r="T40" s="97"/>
    </row>
    <row r="41" spans="1:20" ht="16.5" customHeight="1">
      <c r="A41" s="15" t="s">
        <v>158</v>
      </c>
      <c r="B41" s="83"/>
      <c r="C41" s="83"/>
      <c r="D41" s="83"/>
      <c r="E41" s="32">
        <f>N37</f>
        <v>1845.079</v>
      </c>
      <c r="F41" s="32"/>
      <c r="G41" s="6">
        <f>SUM(G38:G40)</f>
        <v>8.6010999141560003</v>
      </c>
      <c r="H41" s="13">
        <f>SUM(E41:G41)</f>
        <v>1853.680099914156</v>
      </c>
      <c r="I41" s="83"/>
      <c r="J41" s="6">
        <f>SUM(J38:J40)</f>
        <v>573.26555861709016</v>
      </c>
      <c r="K41" s="13">
        <f>M41-L41-J41</f>
        <v>81.364618633058853</v>
      </c>
      <c r="L41" s="6">
        <f>SUM(L38:L40)</f>
        <v>229.06292266400698</v>
      </c>
      <c r="M41" s="6">
        <f>H41-N41</f>
        <v>883.69309991415605</v>
      </c>
      <c r="N41" s="13">
        <v>969.98699999999997</v>
      </c>
      <c r="T41" s="97"/>
    </row>
    <row r="42" spans="1:20" ht="16.5" customHeight="1">
      <c r="A42" s="15" t="s">
        <v>50</v>
      </c>
      <c r="B42" s="83"/>
      <c r="C42" s="83"/>
      <c r="D42" s="83"/>
      <c r="E42" s="32"/>
      <c r="F42" s="32"/>
      <c r="G42" s="6">
        <f>(31221.6*36.74371)/1000000</f>
        <v>1.1471974161359999</v>
      </c>
      <c r="H42" s="13"/>
      <c r="I42" s="83"/>
      <c r="J42" s="6">
        <f>((5510461*0.907185)*36.74371)/1000000</f>
        <v>183.682084156407</v>
      </c>
      <c r="K42" s="13"/>
      <c r="L42" s="6">
        <f>(1338976.8*36.74371)/1000000</f>
        <v>49.198975235927996</v>
      </c>
      <c r="M42" s="6"/>
      <c r="N42" s="13"/>
      <c r="T42" s="97"/>
    </row>
    <row r="43" spans="1:20" ht="16.5" customHeight="1">
      <c r="A43" s="15" t="s">
        <v>51</v>
      </c>
      <c r="B43" s="83"/>
      <c r="C43" s="83"/>
      <c r="D43" s="83"/>
      <c r="E43" s="32"/>
      <c r="F43" s="32"/>
      <c r="G43" s="6">
        <f>(59884.6*36.74371)/1000000</f>
        <v>2.2003823758659999</v>
      </c>
      <c r="H43" s="13"/>
      <c r="I43" s="83"/>
      <c r="J43" s="6">
        <f>((5803654*0.907185)*36.74371)/1000000</f>
        <v>193.45518686053089</v>
      </c>
      <c r="K43" s="13"/>
      <c r="L43" s="6">
        <f>(1494549.2*36.74371)/1000000</f>
        <v>54.915282385532002</v>
      </c>
      <c r="M43" s="6"/>
      <c r="N43" s="13"/>
      <c r="T43" s="97"/>
    </row>
    <row r="44" spans="1:20" ht="16.5" customHeight="1">
      <c r="A44" s="79" t="s">
        <v>55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80"/>
      <c r="M44" s="69"/>
      <c r="N44" s="69"/>
      <c r="T44" s="97"/>
    </row>
    <row r="45" spans="1:20" ht="16.5" customHeight="1">
      <c r="A45" s="15" t="s">
        <v>56</v>
      </c>
      <c r="B45" s="15"/>
      <c r="C45" s="15"/>
      <c r="D45" s="15"/>
      <c r="E45" s="35"/>
      <c r="F45" s="35"/>
      <c r="G45" s="35"/>
      <c r="H45" s="35"/>
      <c r="I45" s="35"/>
      <c r="J45" s="35"/>
      <c r="K45" s="35"/>
      <c r="L45" s="35"/>
      <c r="M45" s="35"/>
      <c r="N45" s="35"/>
      <c r="T45" s="97"/>
    </row>
    <row r="46" spans="1:20" ht="16.5" customHeight="1">
      <c r="A46" s="20" t="s">
        <v>57</v>
      </c>
      <c r="B46" s="36">
        <f>Contents!A17</f>
        <v>45551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T46" s="97"/>
    </row>
    <row r="47" spans="1:20" ht="16.5" customHeight="1">
      <c r="T47" s="97"/>
    </row>
    <row r="48" spans="1:20" ht="16.5" customHeight="1">
      <c r="K48" s="34"/>
      <c r="T48" s="97"/>
    </row>
    <row r="49" spans="10:73" ht="16.5" customHeight="1">
      <c r="K49" s="93"/>
      <c r="P49" s="34"/>
      <c r="T49" s="97"/>
    </row>
    <row r="50" spans="10:73" ht="16.5" customHeight="1">
      <c r="T50" s="97"/>
    </row>
    <row r="51" spans="10:73" ht="16.5" customHeight="1">
      <c r="J51" s="34"/>
      <c r="L51" s="34"/>
      <c r="T51" s="97"/>
    </row>
    <row r="52" spans="10:73" ht="16.5" customHeight="1">
      <c r="J52" s="34"/>
      <c r="L52" s="34"/>
      <c r="T52" s="97"/>
    </row>
    <row r="53" spans="10:73" ht="16.5" customHeight="1">
      <c r="J53" s="34"/>
      <c r="L53" s="34"/>
      <c r="T53" s="97"/>
    </row>
    <row r="54" spans="10:73" ht="16.5" customHeight="1">
      <c r="T54" s="97"/>
    </row>
    <row r="55" spans="10:73" ht="16.5" customHeight="1">
      <c r="T55" s="97"/>
    </row>
    <row r="56" spans="10:73" ht="16.5" customHeight="1">
      <c r="T56" s="97"/>
    </row>
    <row r="57" spans="10:73" ht="16.5" customHeight="1">
      <c r="T57" s="97"/>
    </row>
    <row r="58" spans="10:73" ht="16.5" customHeight="1"/>
    <row r="59" spans="10:73" ht="16.5" customHeight="1"/>
    <row r="60" spans="10:73" ht="16.5" customHeight="1"/>
    <row r="61" spans="10:73" ht="16.5" customHeight="1"/>
    <row r="62" spans="10:73" ht="16.5" customHeight="1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0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0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  <row r="552" spans="15:73"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  <c r="BM552" s="83"/>
      <c r="BN552" s="83"/>
      <c r="BO552" s="83"/>
      <c r="BP552" s="83"/>
      <c r="BQ552" s="83"/>
      <c r="BR552" s="83"/>
      <c r="BS552" s="83"/>
      <c r="BT552" s="83"/>
      <c r="BU552" s="83"/>
    </row>
    <row r="553" spans="15:73"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83"/>
      <c r="BK553" s="83"/>
      <c r="BL553" s="83"/>
      <c r="BM553" s="83"/>
      <c r="BN553" s="83"/>
      <c r="BO553" s="83"/>
      <c r="BP553" s="83"/>
      <c r="BQ553" s="83"/>
      <c r="BR553" s="83"/>
      <c r="BS553" s="83"/>
      <c r="BT553" s="83"/>
      <c r="BU553" s="83"/>
    </row>
    <row r="554" spans="15:73"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  <c r="BI554" s="83"/>
      <c r="BJ554" s="83"/>
      <c r="BK554" s="83"/>
      <c r="BL554" s="83"/>
      <c r="BM554" s="83"/>
      <c r="BN554" s="83"/>
      <c r="BO554" s="83"/>
      <c r="BP554" s="83"/>
      <c r="BQ554" s="83"/>
      <c r="BR554" s="83"/>
      <c r="BS554" s="83"/>
      <c r="BT554" s="83"/>
      <c r="BU554" s="83"/>
    </row>
    <row r="555" spans="15:73"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  <c r="BI555" s="83"/>
      <c r="BJ555" s="83"/>
      <c r="BK555" s="83"/>
      <c r="BL555" s="83"/>
      <c r="BM555" s="83"/>
      <c r="BN555" s="83"/>
      <c r="BO555" s="83"/>
      <c r="BP555" s="83"/>
      <c r="BQ555" s="83"/>
      <c r="BR555" s="83"/>
      <c r="BS555" s="83"/>
      <c r="BT555" s="83"/>
      <c r="BU555" s="83"/>
    </row>
    <row r="556" spans="15:73"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  <c r="BI556" s="83"/>
      <c r="BJ556" s="83"/>
      <c r="BK556" s="83"/>
      <c r="BL556" s="83"/>
      <c r="BM556" s="83"/>
      <c r="BN556" s="83"/>
      <c r="BO556" s="83"/>
      <c r="BP556" s="83"/>
      <c r="BQ556" s="83"/>
      <c r="BR556" s="83"/>
      <c r="BS556" s="83"/>
      <c r="BT556" s="83"/>
      <c r="BU556" s="83"/>
    </row>
    <row r="557" spans="15:73"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  <c r="BI557" s="83"/>
      <c r="BJ557" s="83"/>
      <c r="BK557" s="83"/>
      <c r="BL557" s="83"/>
      <c r="BM557" s="83"/>
      <c r="BN557" s="83"/>
      <c r="BO557" s="83"/>
      <c r="BP557" s="83"/>
      <c r="BQ557" s="83"/>
      <c r="BR557" s="83"/>
      <c r="BS557" s="83"/>
      <c r="BT557" s="83"/>
      <c r="BU557" s="83"/>
    </row>
    <row r="558" spans="15:73"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  <c r="BI558" s="83"/>
      <c r="BJ558" s="83"/>
      <c r="BK558" s="83"/>
      <c r="BL558" s="83"/>
      <c r="BM558" s="83"/>
      <c r="BN558" s="83"/>
      <c r="BO558" s="83"/>
      <c r="BP558" s="83"/>
      <c r="BQ558" s="83"/>
      <c r="BR558" s="83"/>
      <c r="BS558" s="83"/>
      <c r="BT558" s="83"/>
      <c r="BU558" s="83"/>
    </row>
    <row r="559" spans="15:73"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  <c r="BI559" s="83"/>
      <c r="BJ559" s="83"/>
      <c r="BK559" s="83"/>
      <c r="BL559" s="83"/>
      <c r="BM559" s="83"/>
      <c r="BN559" s="83"/>
      <c r="BO559" s="83"/>
      <c r="BP559" s="83"/>
      <c r="BQ559" s="83"/>
      <c r="BR559" s="83"/>
      <c r="BS559" s="83"/>
      <c r="BT559" s="83"/>
      <c r="BU559" s="83"/>
    </row>
  </sheetData>
  <dataConsolidate link="1"/>
  <phoneticPr fontId="49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42"/>
  <sheetViews>
    <sheetView showGridLines="0" zoomScale="70" zoomScaleNormal="70" workbookViewId="0"/>
  </sheetViews>
  <sheetFormatPr defaultColWidth="9.21875" defaultRowHeight="13.2"/>
  <cols>
    <col min="1" max="1" width="16" customWidth="1"/>
    <col min="2" max="2" width="12.44140625" bestFit="1" customWidth="1"/>
    <col min="3" max="3" width="14.77734375" bestFit="1" customWidth="1"/>
    <col min="4" max="4" width="12" bestFit="1" customWidth="1"/>
    <col min="5" max="5" width="13.44140625" bestFit="1" customWidth="1"/>
    <col min="6" max="6" width="1.5546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77734375" customWidth="1"/>
    <col min="14" max="14" width="10.77734375" customWidth="1"/>
  </cols>
  <sheetData>
    <row r="1" spans="1:14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3.8">
      <c r="A2" s="15"/>
      <c r="B2" s="181" t="s">
        <v>58</v>
      </c>
      <c r="C2" s="181"/>
      <c r="D2" s="181"/>
      <c r="E2" s="181"/>
      <c r="F2" s="15"/>
      <c r="G2" s="181" t="s">
        <v>59</v>
      </c>
      <c r="H2" s="181"/>
      <c r="I2" s="181"/>
      <c r="J2" s="15"/>
    </row>
    <row r="3" spans="1:14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4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4" ht="14.4">
      <c r="A5" s="15"/>
      <c r="B5" s="182" t="s">
        <v>67</v>
      </c>
      <c r="C5" s="182"/>
      <c r="D5" s="182"/>
      <c r="E5" s="182"/>
      <c r="F5" s="182"/>
      <c r="G5" s="182"/>
      <c r="H5" s="182"/>
      <c r="I5" s="182"/>
      <c r="J5" s="182"/>
    </row>
    <row r="6" spans="1:14" ht="13.8">
      <c r="A6" s="15" t="s">
        <v>37</v>
      </c>
      <c r="B6" s="126">
        <v>310.92700000000002</v>
      </c>
      <c r="C6" s="37">
        <f>C23</f>
        <v>52493.097999999998</v>
      </c>
      <c r="D6" s="137">
        <f>D23</f>
        <v>634.23588423800004</v>
      </c>
      <c r="E6" s="125">
        <f>SUM(B6:D6)</f>
        <v>53438.260884238</v>
      </c>
      <c r="F6" s="37"/>
      <c r="G6" s="37">
        <f>E6-H6-J6</f>
        <v>38520.852924328996</v>
      </c>
      <c r="H6" s="129">
        <f>H23</f>
        <v>14546.516959908999</v>
      </c>
      <c r="I6" s="37">
        <f>E6-J6</f>
        <v>53067.369884237996</v>
      </c>
      <c r="J6" s="37">
        <f>J22</f>
        <v>370.89100000000002</v>
      </c>
      <c r="M6" s="97"/>
    </row>
    <row r="7" spans="1:14" ht="16.2">
      <c r="A7" s="15" t="s">
        <v>155</v>
      </c>
      <c r="B7" s="126">
        <f>J6</f>
        <v>370.89100000000002</v>
      </c>
      <c r="C7" s="37">
        <v>54154.108999999997</v>
      </c>
      <c r="D7" s="37">
        <v>650</v>
      </c>
      <c r="E7" s="125">
        <f>SUM(B7:D7)</f>
        <v>55175</v>
      </c>
      <c r="F7" s="37"/>
      <c r="G7" s="37">
        <v>38775</v>
      </c>
      <c r="H7" s="37">
        <v>16000</v>
      </c>
      <c r="I7" s="37">
        <f>SUM(G7:H7)</f>
        <v>54775</v>
      </c>
      <c r="J7" s="37">
        <f>E7-I7</f>
        <v>400</v>
      </c>
      <c r="K7" s="169"/>
      <c r="L7" s="170"/>
    </row>
    <row r="8" spans="1:14" ht="16.2">
      <c r="A8" s="15" t="s">
        <v>156</v>
      </c>
      <c r="B8" s="126">
        <f>J7</f>
        <v>400</v>
      </c>
      <c r="C8" s="37">
        <v>57075</v>
      </c>
      <c r="D8" s="37">
        <v>600</v>
      </c>
      <c r="E8" s="125">
        <f>SUM(B8:D8)</f>
        <v>58075</v>
      </c>
      <c r="F8" s="37"/>
      <c r="G8" s="37">
        <v>40125</v>
      </c>
      <c r="H8" s="37">
        <v>17500</v>
      </c>
      <c r="I8" s="37">
        <f>SUM(G8:H8)</f>
        <v>57625</v>
      </c>
      <c r="J8" s="37">
        <f>E8-I8</f>
        <v>450</v>
      </c>
      <c r="L8" s="171"/>
    </row>
    <row r="9" spans="1:14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3.8">
      <c r="A10" s="30" t="s">
        <v>37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4">
      <c r="A11" s="15" t="s">
        <v>39</v>
      </c>
      <c r="B11" s="39">
        <f>B6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4972.2048571759997</v>
      </c>
      <c r="F11" s="6"/>
      <c r="G11" s="6">
        <f>I11-H11</f>
        <v>3639.92656076</v>
      </c>
      <c r="H11" s="6">
        <f>(865513.6*1.10231)/1000</f>
        <v>954.06429641599993</v>
      </c>
      <c r="I11" s="5">
        <f>E11-J11</f>
        <v>4593.9908571759997</v>
      </c>
      <c r="J11" s="6">
        <v>378.214</v>
      </c>
      <c r="K11" s="84"/>
      <c r="M11" s="128"/>
      <c r="N11" s="128"/>
    </row>
    <row r="12" spans="1:14" ht="14.4">
      <c r="A12" s="15" t="s">
        <v>40</v>
      </c>
      <c r="B12" s="39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3367.6497962010012</v>
      </c>
      <c r="H12" s="6">
        <f>(1079754.4*1.10231)/1000</f>
        <v>1190.2240726639998</v>
      </c>
      <c r="I12" s="5">
        <f t="shared" ref="I12:I22" si="3">E12-J12</f>
        <v>4557.873868865001</v>
      </c>
      <c r="J12" s="6">
        <v>349.10500000000002</v>
      </c>
      <c r="K12" s="84"/>
      <c r="M12" s="128"/>
      <c r="N12" s="128"/>
    </row>
    <row r="13" spans="1:14" ht="14.4">
      <c r="A13" s="15" t="s">
        <v>42</v>
      </c>
      <c r="B13" s="39">
        <f t="shared" si="1"/>
        <v>349.10500000000002</v>
      </c>
      <c r="C13" s="6">
        <v>4437.4089999999997</v>
      </c>
      <c r="D13" s="6">
        <f>(32200.7*1.10231)/1000</f>
        <v>35.495153617</v>
      </c>
      <c r="E13" s="6">
        <f t="shared" si="0"/>
        <v>4822.0091536169994</v>
      </c>
      <c r="F13" s="6"/>
      <c r="G13" s="6">
        <f t="shared" si="2"/>
        <v>3180.3555711099989</v>
      </c>
      <c r="H13" s="6">
        <f>(1075719.7*1.10231)/1000</f>
        <v>1185.7765825069998</v>
      </c>
      <c r="I13" s="5">
        <f t="shared" si="3"/>
        <v>4366.1321536169989</v>
      </c>
      <c r="J13" s="6">
        <v>455.87700000000001</v>
      </c>
      <c r="K13" s="84"/>
      <c r="M13" s="128"/>
      <c r="N13" s="128"/>
    </row>
    <row r="14" spans="1:14" ht="14.4">
      <c r="A14" s="15" t="s">
        <v>43</v>
      </c>
      <c r="B14" s="39">
        <f t="shared" si="1"/>
        <v>455.87700000000001</v>
      </c>
      <c r="C14" s="6">
        <v>4540.9090000000006</v>
      </c>
      <c r="D14" s="6">
        <f>(76327.1*1.10231)/1000</f>
        <v>84.136125600999989</v>
      </c>
      <c r="E14" s="6">
        <f t="shared" si="0"/>
        <v>5080.9221256010005</v>
      </c>
      <c r="F14" s="6"/>
      <c r="G14" s="6">
        <f t="shared" si="2"/>
        <v>3114.3403980780004</v>
      </c>
      <c r="H14" s="6">
        <f>(1382293.3*1.10231)/1000</f>
        <v>1523.7157275229999</v>
      </c>
      <c r="I14" s="5">
        <f t="shared" si="3"/>
        <v>4638.0561256010005</v>
      </c>
      <c r="J14" s="6">
        <v>442.86599999999999</v>
      </c>
      <c r="K14" s="84"/>
      <c r="M14" s="128"/>
      <c r="N14" s="128"/>
    </row>
    <row r="15" spans="1:14" ht="14.4">
      <c r="A15" s="15" t="s">
        <v>44</v>
      </c>
      <c r="B15" s="39">
        <f t="shared" si="1"/>
        <v>442.86599999999999</v>
      </c>
      <c r="C15" s="6">
        <v>4197.5839999999998</v>
      </c>
      <c r="D15" s="6">
        <f>(51242.8*1.10231)/1000</f>
        <v>56.485450868000001</v>
      </c>
      <c r="E15" s="6">
        <f t="shared" si="0"/>
        <v>4696.9354508679999</v>
      </c>
      <c r="F15" s="6"/>
      <c r="G15" s="6">
        <f t="shared" si="2"/>
        <v>3216.9337009630003</v>
      </c>
      <c r="H15" s="6">
        <f>(911125.5*1.10231)/1000</f>
        <v>1004.3427499049999</v>
      </c>
      <c r="I15" s="5">
        <f t="shared" si="3"/>
        <v>4221.2764508680002</v>
      </c>
      <c r="J15" s="6">
        <v>475.65899999999999</v>
      </c>
      <c r="K15" s="84"/>
      <c r="M15" s="128"/>
      <c r="N15" s="128"/>
    </row>
    <row r="16" spans="1:14" ht="14.4">
      <c r="A16" s="15" t="s">
        <v>46</v>
      </c>
      <c r="B16" s="39">
        <f t="shared" si="1"/>
        <v>475.65899999999999</v>
      </c>
      <c r="C16" s="6">
        <v>4698.1610000000001</v>
      </c>
      <c r="D16" s="6">
        <f>(44530*1.10231)/1000</f>
        <v>49.085864299999997</v>
      </c>
      <c r="E16" s="6">
        <f t="shared" si="0"/>
        <v>5222.9058642999998</v>
      </c>
      <c r="F16" s="6"/>
      <c r="G16" s="6">
        <f t="shared" si="2"/>
        <v>3377.8488210519999</v>
      </c>
      <c r="H16" s="6">
        <f>(1329940.8*1.10231)/1000</f>
        <v>1466.0070432479999</v>
      </c>
      <c r="I16" s="5">
        <f t="shared" si="3"/>
        <v>4843.8558642999997</v>
      </c>
      <c r="J16" s="6">
        <v>379.04999999999995</v>
      </c>
      <c r="K16" s="84"/>
      <c r="M16" s="128"/>
      <c r="N16" s="128"/>
    </row>
    <row r="17" spans="1:14" ht="14.4">
      <c r="A17" s="15" t="s">
        <v>47</v>
      </c>
      <c r="B17" s="39">
        <f t="shared" si="1"/>
        <v>379.04999999999995</v>
      </c>
      <c r="C17" s="6">
        <v>4433.6350000000002</v>
      </c>
      <c r="D17" s="6">
        <f>(26587.9*1.10231)/1000</f>
        <v>29.308108048999998</v>
      </c>
      <c r="E17" s="6">
        <f t="shared" si="0"/>
        <v>4841.9931080490005</v>
      </c>
      <c r="F17" s="6"/>
      <c r="G17" s="6">
        <f t="shared" si="2"/>
        <v>3024.9898179200009</v>
      </c>
      <c r="H17" s="6">
        <f>(1124155.9*1.10231)/1000</f>
        <v>1239.1682901289998</v>
      </c>
      <c r="I17" s="5">
        <f t="shared" si="3"/>
        <v>4264.1581080490005</v>
      </c>
      <c r="J17" s="6">
        <v>577.83499999999992</v>
      </c>
      <c r="K17" s="84"/>
      <c r="M17" s="128"/>
      <c r="N17" s="128"/>
    </row>
    <row r="18" spans="1:14" ht="14.4">
      <c r="A18" s="15" t="s">
        <v>48</v>
      </c>
      <c r="B18" s="39">
        <f>J17</f>
        <v>577.83499999999992</v>
      </c>
      <c r="C18" s="6">
        <v>4461.268</v>
      </c>
      <c r="D18" s="6">
        <f>(50142.7*1.10231)/1000</f>
        <v>55.272799636999991</v>
      </c>
      <c r="E18" s="6">
        <f t="shared" si="0"/>
        <v>5094.3757996370005</v>
      </c>
      <c r="F18" s="6"/>
      <c r="G18" s="6">
        <f t="shared" si="2"/>
        <v>3496.5640024500008</v>
      </c>
      <c r="H18" s="6">
        <f>(1060747.7*1.10231)/1000</f>
        <v>1169.2727971869999</v>
      </c>
      <c r="I18" s="5">
        <f t="shared" si="3"/>
        <v>4665.8367996370007</v>
      </c>
      <c r="J18" s="6">
        <v>428.53899999999999</v>
      </c>
      <c r="K18" s="84"/>
      <c r="M18" s="128"/>
      <c r="N18" s="128"/>
    </row>
    <row r="19" spans="1:14" ht="14.4">
      <c r="A19" s="15" t="s">
        <v>50</v>
      </c>
      <c r="B19" s="39">
        <f>J18</f>
        <v>428.53899999999999</v>
      </c>
      <c r="C19" s="6">
        <v>4152.3280000000004</v>
      </c>
      <c r="D19" s="6">
        <f>(47208.3*1.10231)/1000</f>
        <v>52.038181172999998</v>
      </c>
      <c r="E19" s="6">
        <f t="shared" si="0"/>
        <v>4632.9051811730005</v>
      </c>
      <c r="F19" s="6"/>
      <c r="G19" s="6">
        <f t="shared" si="2"/>
        <v>2902.0146138540003</v>
      </c>
      <c r="H19" s="6">
        <f>(1238604.9*1.10231)/1000</f>
        <v>1365.3265673189997</v>
      </c>
      <c r="I19" s="5">
        <f>E19-J19</f>
        <v>4267.3411811730002</v>
      </c>
      <c r="J19" s="6">
        <v>365.56400000000002</v>
      </c>
      <c r="K19" s="84"/>
      <c r="M19" s="128"/>
      <c r="N19" s="128"/>
    </row>
    <row r="20" spans="1:14" ht="14.4">
      <c r="A20" s="15" t="s">
        <v>51</v>
      </c>
      <c r="B20" s="39">
        <f>J19</f>
        <v>365.56400000000002</v>
      </c>
      <c r="C20" s="6">
        <v>4362.93</v>
      </c>
      <c r="D20" s="6">
        <f>(44970.6*1.10231)/1000</f>
        <v>49.571542085999994</v>
      </c>
      <c r="E20" s="6">
        <f t="shared" si="0"/>
        <v>4778.0655420860003</v>
      </c>
      <c r="F20" s="6"/>
      <c r="G20" s="6">
        <f>I20-H20</f>
        <v>3145.9025870680007</v>
      </c>
      <c r="H20" s="6">
        <f>(1054707.8*1.10231)/1000</f>
        <v>1162.614955018</v>
      </c>
      <c r="I20" s="5">
        <f t="shared" si="3"/>
        <v>4308.5175420860005</v>
      </c>
      <c r="J20" s="6">
        <v>469.548</v>
      </c>
      <c r="K20" s="84"/>
      <c r="M20" s="128"/>
      <c r="N20" s="128"/>
    </row>
    <row r="21" spans="1:14" ht="14.4">
      <c r="A21" s="15" t="s">
        <v>52</v>
      </c>
      <c r="B21" s="39">
        <f>J20</f>
        <v>469.548</v>
      </c>
      <c r="C21" s="6">
        <v>4029.8919999999998</v>
      </c>
      <c r="D21" s="6">
        <f>(49389.3*1.10231)/1000</f>
        <v>54.442319282999996</v>
      </c>
      <c r="E21" s="6">
        <f t="shared" si="0"/>
        <v>4553.8823192829996</v>
      </c>
      <c r="F21" s="6"/>
      <c r="G21" s="6">
        <f t="shared" ref="G21:G22" si="4">I21-H21</f>
        <v>3031.4960194669993</v>
      </c>
      <c r="H21" s="6">
        <f>(1093653.6*1.10231)/1000</f>
        <v>1205.5452998160001</v>
      </c>
      <c r="I21" s="5">
        <f t="shared" si="3"/>
        <v>4237.0413192829992</v>
      </c>
      <c r="J21" s="6">
        <v>316.84100000000001</v>
      </c>
      <c r="K21" s="84"/>
      <c r="M21" s="128"/>
      <c r="N21" s="128"/>
    </row>
    <row r="22" spans="1:14" ht="14.4">
      <c r="A22" s="15" t="s">
        <v>38</v>
      </c>
      <c r="B22" s="39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3022.8310354060004</v>
      </c>
      <c r="H22" s="6">
        <f>(980176.7*1.10231)/1000</f>
        <v>1080.4585781769999</v>
      </c>
      <c r="I22" s="5">
        <f t="shared" si="3"/>
        <v>4103.2896135830006</v>
      </c>
      <c r="J22" s="6">
        <v>370.89100000000002</v>
      </c>
      <c r="K22" s="87"/>
      <c r="M22" s="128"/>
      <c r="N22" s="128"/>
    </row>
    <row r="23" spans="1:14" ht="14.4">
      <c r="A23" s="15" t="s">
        <v>28</v>
      </c>
      <c r="B23" s="39"/>
      <c r="C23" s="6">
        <f>SUM(C11:C22)</f>
        <v>52493.097999999998</v>
      </c>
      <c r="D23" s="6">
        <f>(575369.8*1.10231)/1000</f>
        <v>634.23588423800004</v>
      </c>
      <c r="E23" s="6">
        <f>B11+C23+D23</f>
        <v>53438.260884238</v>
      </c>
      <c r="F23" s="6"/>
      <c r="G23" s="6">
        <f>SUM(G11:G22)</f>
        <v>38520.85292432901</v>
      </c>
      <c r="H23" s="125">
        <f>(13196393.9*1.10231)/1000</f>
        <v>14546.516959908999</v>
      </c>
      <c r="I23" s="5">
        <f>SUM(I11:I22)</f>
        <v>53067.369884238004</v>
      </c>
      <c r="J23" s="6"/>
      <c r="K23" s="127"/>
      <c r="M23" s="128"/>
      <c r="N23" s="34"/>
    </row>
    <row r="24" spans="1:14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4.4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4">
      <c r="A26" s="15" t="s">
        <v>39</v>
      </c>
      <c r="B26" s="106">
        <f>J22</f>
        <v>370.89100000000002</v>
      </c>
      <c r="C26" s="107">
        <v>4738.4830000000002</v>
      </c>
      <c r="D26" s="6">
        <f>(43352.2*1.10231)/1000</f>
        <v>47.787563581999997</v>
      </c>
      <c r="E26" s="6">
        <f t="shared" ref="E26:E31" si="5">SUM(B26:D26)</f>
        <v>5157.1615635819999</v>
      </c>
      <c r="F26" s="6"/>
      <c r="G26" s="6">
        <f t="shared" ref="G26:G31" si="6">I26-H26</f>
        <v>3602.9976581149999</v>
      </c>
      <c r="H26" s="6">
        <f>(1106335.7*1.10231)/1000</f>
        <v>1219.5249054669998</v>
      </c>
      <c r="I26" s="100">
        <f t="shared" ref="I26:I31" si="7">E26-J26</f>
        <v>4822.5225635819997</v>
      </c>
      <c r="J26" s="107">
        <v>334.63900000000001</v>
      </c>
      <c r="K26" s="84"/>
      <c r="N26" s="34"/>
    </row>
    <row r="27" spans="1:14" ht="14.4">
      <c r="A27" s="15" t="s">
        <v>40</v>
      </c>
      <c r="B27" s="39">
        <f t="shared" ref="B27:B33" si="8">J26</f>
        <v>334.63900000000001</v>
      </c>
      <c r="C27" s="6">
        <v>4706.2079999999996</v>
      </c>
      <c r="D27" s="6">
        <f>(48390.3*1.10231)/1000</f>
        <v>53.341111593000001</v>
      </c>
      <c r="E27" s="6">
        <f t="shared" si="5"/>
        <v>5094.188111593</v>
      </c>
      <c r="F27" s="6"/>
      <c r="G27" s="6">
        <f t="shared" si="6"/>
        <v>3280.6629275390005</v>
      </c>
      <c r="H27" s="6">
        <f>(1369023.4*1.10231)/1000</f>
        <v>1509.0881840539998</v>
      </c>
      <c r="I27" s="6">
        <f t="shared" si="7"/>
        <v>4789.7511115930001</v>
      </c>
      <c r="J27" s="6">
        <v>304.43700000000001</v>
      </c>
      <c r="K27" s="84"/>
      <c r="N27" s="34"/>
    </row>
    <row r="28" spans="1:14" ht="14.4">
      <c r="A28" s="15" t="s">
        <v>42</v>
      </c>
      <c r="B28" s="39">
        <f t="shared" si="8"/>
        <v>304.43700000000001</v>
      </c>
      <c r="C28" s="6">
        <v>4818.3419999999996</v>
      </c>
      <c r="D28" s="104">
        <f>(53099.9*1.10231)/1000</f>
        <v>58.532550768999997</v>
      </c>
      <c r="E28" s="104">
        <f t="shared" si="5"/>
        <v>5181.311550769</v>
      </c>
      <c r="F28" s="104"/>
      <c r="G28" s="104">
        <f t="shared" si="6"/>
        <v>3073.843674963</v>
      </c>
      <c r="H28" s="104">
        <f>(1457582.6*1.10231)/1000</f>
        <v>1606.7078758059999</v>
      </c>
      <c r="I28" s="104">
        <f t="shared" si="7"/>
        <v>4680.5515507689997</v>
      </c>
      <c r="J28" s="6">
        <v>500.76</v>
      </c>
      <c r="K28" s="84"/>
      <c r="L28" s="34"/>
      <c r="N28" s="34"/>
    </row>
    <row r="29" spans="1:14" ht="14.4">
      <c r="A29" s="15" t="s">
        <v>43</v>
      </c>
      <c r="B29" s="39">
        <f t="shared" si="8"/>
        <v>500.76</v>
      </c>
      <c r="C29" s="6">
        <v>4595.6220000000003</v>
      </c>
      <c r="D29" s="104">
        <f>(53674.5*1.10231)/1000</f>
        <v>59.165938094999994</v>
      </c>
      <c r="E29" s="104">
        <f t="shared" si="5"/>
        <v>5155.5479380950001</v>
      </c>
      <c r="F29" s="104"/>
      <c r="G29" s="104">
        <f t="shared" si="6"/>
        <v>3288.6776487350007</v>
      </c>
      <c r="H29" s="104">
        <f>(1376056*1.10231)/1000</f>
        <v>1516.8402893599998</v>
      </c>
      <c r="I29" s="104">
        <f t="shared" si="7"/>
        <v>4805.5179380950003</v>
      </c>
      <c r="J29" s="6">
        <v>350.03</v>
      </c>
      <c r="K29" s="84"/>
      <c r="L29" s="34"/>
      <c r="M29" s="93"/>
    </row>
    <row r="30" spans="1:14" ht="14.4">
      <c r="A30" s="15" t="s">
        <v>44</v>
      </c>
      <c r="B30" s="39">
        <f t="shared" si="8"/>
        <v>350.03</v>
      </c>
      <c r="C30" s="6">
        <v>4557.0920000000006</v>
      </c>
      <c r="D30" s="104">
        <f>(57158.1*1.10231)/1000</f>
        <v>63.00594521099999</v>
      </c>
      <c r="E30" s="104">
        <f t="shared" si="5"/>
        <v>4970.1279452110002</v>
      </c>
      <c r="F30" s="104"/>
      <c r="G30" s="104">
        <f t="shared" si="6"/>
        <v>3138.4475940110005</v>
      </c>
      <c r="H30" s="104">
        <f>(1365520*1.10231)/1000</f>
        <v>1505.2263512</v>
      </c>
      <c r="I30" s="104">
        <f t="shared" si="7"/>
        <v>4643.6739452110005</v>
      </c>
      <c r="J30" s="6">
        <v>326.45400000000001</v>
      </c>
      <c r="K30" s="84"/>
      <c r="L30" s="34"/>
      <c r="M30" s="117"/>
    </row>
    <row r="31" spans="1:14" ht="14.4">
      <c r="A31" s="15" t="s">
        <v>46</v>
      </c>
      <c r="B31" s="39">
        <f t="shared" si="8"/>
        <v>326.45400000000001</v>
      </c>
      <c r="C31" s="6">
        <v>4797.4049999999997</v>
      </c>
      <c r="D31" s="104">
        <f>(52412.6*1.10231)/1000</f>
        <v>57.774933105999999</v>
      </c>
      <c r="E31" s="104">
        <f t="shared" si="5"/>
        <v>5181.6339331059999</v>
      </c>
      <c r="F31" s="104"/>
      <c r="G31" s="104">
        <f t="shared" si="6"/>
        <v>2969.6471064249995</v>
      </c>
      <c r="H31" s="104">
        <f>(1498795.1*1.10231)/1000</f>
        <v>1652.136826681</v>
      </c>
      <c r="I31" s="104">
        <f t="shared" si="7"/>
        <v>4621.7839331059995</v>
      </c>
      <c r="J31" s="6">
        <v>559.85</v>
      </c>
      <c r="K31" s="84"/>
      <c r="L31" s="34"/>
      <c r="M31" s="117"/>
    </row>
    <row r="32" spans="1:14" ht="14.4">
      <c r="A32" s="15" t="s">
        <v>47</v>
      </c>
      <c r="B32" s="39">
        <f t="shared" si="8"/>
        <v>559.85</v>
      </c>
      <c r="C32" s="6">
        <v>4205.6130000000003</v>
      </c>
      <c r="D32" s="104">
        <f>(45671.7*1.10231)/1000</f>
        <v>50.344371626999994</v>
      </c>
      <c r="E32" s="104">
        <f t="shared" ref="E32:E34" si="9">SUM(B32:D32)</f>
        <v>4815.807371627001</v>
      </c>
      <c r="F32" s="104"/>
      <c r="G32" s="104">
        <f t="shared" ref="G32:G34" si="10">I32-H32</f>
        <v>3094.5719551340007</v>
      </c>
      <c r="H32" s="104">
        <f>(1257180.3*1.10231)/1000</f>
        <v>1385.802416493</v>
      </c>
      <c r="I32" s="104">
        <f t="shared" ref="I32:I34" si="11">E32-J32</f>
        <v>4480.374371627001</v>
      </c>
      <c r="J32" s="6">
        <v>335.43299999999999</v>
      </c>
      <c r="K32" s="84"/>
      <c r="L32" s="34"/>
      <c r="M32" s="117"/>
    </row>
    <row r="33" spans="1:13" ht="14.4">
      <c r="A33" s="15" t="s">
        <v>48</v>
      </c>
      <c r="B33" s="39">
        <f t="shared" si="8"/>
        <v>335.43299999999999</v>
      </c>
      <c r="C33" s="6">
        <v>4511.01</v>
      </c>
      <c r="D33" s="104">
        <f>(61818.5*1.10231)/1000</f>
        <v>68.143150734999992</v>
      </c>
      <c r="E33" s="104">
        <f t="shared" si="9"/>
        <v>4914.586150735</v>
      </c>
      <c r="F33" s="104"/>
      <c r="G33" s="104">
        <f t="shared" si="10"/>
        <v>3448.3553320180008</v>
      </c>
      <c r="H33" s="104">
        <f>(1010410.7*1.10231)/1000</f>
        <v>1113.7858187169998</v>
      </c>
      <c r="I33" s="104">
        <f t="shared" si="11"/>
        <v>4562.1411507350003</v>
      </c>
      <c r="J33" s="6">
        <v>352.44499999999999</v>
      </c>
      <c r="K33" s="84"/>
      <c r="L33" s="34"/>
      <c r="M33" s="117"/>
    </row>
    <row r="34" spans="1:13" ht="14.4">
      <c r="A34" s="15" t="s">
        <v>50</v>
      </c>
      <c r="B34" s="39">
        <f>J33</f>
        <v>352.44499999999999</v>
      </c>
      <c r="C34" s="6">
        <v>4335.0060000000003</v>
      </c>
      <c r="D34" s="104">
        <f>(44979.4*1.10231)/1000</f>
        <v>49.581242414000002</v>
      </c>
      <c r="E34" s="104">
        <f t="shared" si="9"/>
        <v>4737.0322424140004</v>
      </c>
      <c r="F34" s="104"/>
      <c r="G34" s="104">
        <f t="shared" si="10"/>
        <v>3010.5296164590004</v>
      </c>
      <c r="H34" s="104">
        <f>(1119080.5*1.10231)/1000</f>
        <v>1233.5736259549999</v>
      </c>
      <c r="I34" s="104">
        <f t="shared" si="11"/>
        <v>4244.1032424140003</v>
      </c>
      <c r="J34" s="6">
        <v>492.92899999999997</v>
      </c>
      <c r="K34" s="84"/>
      <c r="L34" s="34"/>
      <c r="M34" s="117"/>
    </row>
    <row r="35" spans="1:13" ht="14.4">
      <c r="A35" s="15" t="s">
        <v>51</v>
      </c>
      <c r="B35" s="39">
        <f>J34</f>
        <v>492.92899999999997</v>
      </c>
      <c r="C35" s="6">
        <v>4552.8230000000003</v>
      </c>
      <c r="D35" s="104">
        <f>(38648.7*1.10231)/1000</f>
        <v>42.602848496999989</v>
      </c>
      <c r="E35" s="104">
        <f t="shared" ref="E35" si="12">SUM(B35:D35)</f>
        <v>5088.3548484970006</v>
      </c>
      <c r="F35" s="104"/>
      <c r="G35" s="104">
        <f t="shared" ref="G35" si="13">I35-H35</f>
        <v>3536.0427891890008</v>
      </c>
      <c r="H35" s="104">
        <f>(1017566.8*1.10231)/1000</f>
        <v>1121.6740593079999</v>
      </c>
      <c r="I35" s="104">
        <f t="shared" ref="I35" si="14">E35-J35</f>
        <v>4657.7168484970007</v>
      </c>
      <c r="J35" s="6">
        <v>430.63799999999998</v>
      </c>
      <c r="K35" s="84"/>
      <c r="L35" s="34"/>
      <c r="M35" s="117"/>
    </row>
    <row r="36" spans="1:13" ht="16.2">
      <c r="A36" s="79" t="s">
        <v>68</v>
      </c>
      <c r="B36" s="69"/>
      <c r="C36" s="69"/>
      <c r="D36" s="69"/>
      <c r="E36" s="69"/>
      <c r="F36" s="69"/>
      <c r="G36" s="69"/>
      <c r="H36" s="69"/>
      <c r="I36" s="69"/>
      <c r="J36" s="69"/>
    </row>
    <row r="37" spans="1:13" ht="14.4">
      <c r="A37" s="15" t="s">
        <v>69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3" ht="13.8">
      <c r="A38" s="20" t="s">
        <v>57</v>
      </c>
      <c r="B38" s="36">
        <f>Contents!A17</f>
        <v>45551</v>
      </c>
      <c r="C38" s="33"/>
      <c r="D38" s="28"/>
      <c r="E38" s="28"/>
      <c r="F38" s="28"/>
      <c r="G38" s="28"/>
      <c r="H38" s="28"/>
      <c r="I38" s="28"/>
      <c r="J38" s="28"/>
    </row>
    <row r="39" spans="1:13">
      <c r="B39" s="41"/>
      <c r="C39" s="42"/>
      <c r="D39" s="41"/>
      <c r="E39" s="81"/>
      <c r="F39" s="41"/>
      <c r="G39" s="41"/>
      <c r="H39" s="43"/>
      <c r="I39" s="81"/>
      <c r="J39" s="41"/>
    </row>
    <row r="40" spans="1:13">
      <c r="B40" s="41"/>
      <c r="C40" s="41"/>
      <c r="D40" s="41"/>
      <c r="E40" s="41"/>
      <c r="F40" s="41"/>
      <c r="G40" s="41"/>
      <c r="H40" s="41"/>
      <c r="I40" s="41"/>
      <c r="J40" s="41"/>
    </row>
    <row r="41" spans="1:13">
      <c r="G41" s="34"/>
    </row>
    <row r="42" spans="1:13">
      <c r="G42" s="91"/>
    </row>
  </sheetData>
  <mergeCells count="3">
    <mergeCell ref="G2:I2"/>
    <mergeCell ref="B5:J5"/>
    <mergeCell ref="B2:E2"/>
  </mergeCells>
  <phoneticPr fontId="49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40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 activeCell="I21" sqref="I21"/>
    </sheetView>
  </sheetViews>
  <sheetFormatPr defaultColWidth="9.21875" defaultRowHeight="13.2"/>
  <cols>
    <col min="1" max="1" width="15.44140625" customWidth="1"/>
    <col min="2" max="2" width="12.44140625" bestFit="1" customWidth="1"/>
    <col min="3" max="3" width="12.218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218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81" t="s">
        <v>58</v>
      </c>
      <c r="C2" s="181"/>
      <c r="D2" s="181"/>
      <c r="E2" s="181"/>
      <c r="F2" s="15"/>
      <c r="G2" s="181" t="s">
        <v>59</v>
      </c>
      <c r="H2" s="181"/>
      <c r="I2" s="181"/>
      <c r="J2" s="114"/>
      <c r="K2" s="114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14" t="s">
        <v>64</v>
      </c>
      <c r="H3" s="114"/>
      <c r="I3" s="114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83" t="s">
        <v>75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20" ht="16.2">
      <c r="A6" s="15" t="s">
        <v>35</v>
      </c>
      <c r="B6" s="38">
        <v>1991.1479999999999</v>
      </c>
      <c r="C6" s="38">
        <f>C23</f>
        <v>26227.309000000001</v>
      </c>
      <c r="D6" s="130">
        <f>D23</f>
        <v>375.55383030479999</v>
      </c>
      <c r="E6" s="38">
        <f>E23</f>
        <v>28594.010830304804</v>
      </c>
      <c r="F6" s="38"/>
      <c r="G6" s="38">
        <f>K6-J6</f>
        <v>26609.028920468605</v>
      </c>
      <c r="H6" s="38">
        <f>H23</f>
        <v>12510.33</v>
      </c>
      <c r="I6" s="125">
        <f>G6-H6</f>
        <v>14098.698920468605</v>
      </c>
      <c r="J6" s="38">
        <f>J23</f>
        <v>377.90990983619997</v>
      </c>
      <c r="K6" s="38">
        <f>E6-L6</f>
        <v>26986.938830304804</v>
      </c>
      <c r="L6" s="38">
        <f>L22</f>
        <v>1607.0719999999999</v>
      </c>
    </row>
    <row r="7" spans="1:20" ht="16.2">
      <c r="A7" s="15" t="s">
        <v>36</v>
      </c>
      <c r="B7" s="38">
        <f>L6</f>
        <v>1607.0719999999999</v>
      </c>
      <c r="C7" s="38">
        <v>27115</v>
      </c>
      <c r="D7" s="130">
        <v>650</v>
      </c>
      <c r="E7" s="38">
        <f>SUM(B7:D7)</f>
        <v>29372.072</v>
      </c>
      <c r="F7" s="38"/>
      <c r="G7" s="38">
        <f>SUM(H7:I7)</f>
        <v>27100</v>
      </c>
      <c r="H7" s="38">
        <v>13000</v>
      </c>
      <c r="I7" s="125">
        <v>14100</v>
      </c>
      <c r="J7" s="38">
        <v>650</v>
      </c>
      <c r="K7" s="38">
        <f>G7+J7</f>
        <v>27750</v>
      </c>
      <c r="L7" s="38">
        <f>E7-K7</f>
        <v>1622.0720000000001</v>
      </c>
      <c r="M7" s="169"/>
      <c r="N7" s="169"/>
      <c r="O7" s="169"/>
      <c r="P7" s="169"/>
      <c r="Q7" s="169"/>
      <c r="R7" s="169"/>
      <c r="S7" s="169"/>
      <c r="T7" s="169"/>
    </row>
    <row r="8" spans="1:20" ht="16.2">
      <c r="A8" s="15" t="s">
        <v>156</v>
      </c>
      <c r="B8" s="38">
        <f>L7</f>
        <v>1622.0720000000001</v>
      </c>
      <c r="C8" s="38">
        <v>28515</v>
      </c>
      <c r="D8" s="130">
        <v>450</v>
      </c>
      <c r="E8" s="38">
        <f>SUM(B8:D8)</f>
        <v>30587.072</v>
      </c>
      <c r="F8" s="38"/>
      <c r="G8" s="38">
        <v>28200</v>
      </c>
      <c r="H8" s="38">
        <v>14000</v>
      </c>
      <c r="I8" s="125">
        <v>14200</v>
      </c>
      <c r="J8" s="38">
        <v>600</v>
      </c>
      <c r="K8" s="38">
        <f>G8+J8</f>
        <v>28800</v>
      </c>
      <c r="L8" s="38">
        <f>E8-K8</f>
        <v>1787.0720000000001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B6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2241.9110301381997</v>
      </c>
      <c r="H11" s="105">
        <v>906.40899999999999</v>
      </c>
      <c r="I11" s="6">
        <f t="shared" ref="I11:I17" si="1">G11-H11</f>
        <v>1335.5020301381996</v>
      </c>
      <c r="J11" s="6">
        <f>(10633.3*2204.622)/1000000</f>
        <v>23.442407112599994</v>
      </c>
      <c r="K11" s="6">
        <f>E11-L11</f>
        <v>2265.3534372507997</v>
      </c>
      <c r="L11" s="5">
        <v>2093.623</v>
      </c>
      <c r="M11" s="138"/>
      <c r="N11" s="86"/>
      <c r="P11" s="34"/>
    </row>
    <row r="12" spans="1:20" ht="13.8">
      <c r="A12" s="15" t="s">
        <v>40</v>
      </c>
      <c r="B12" s="5">
        <f>L11</f>
        <v>2093.623</v>
      </c>
      <c r="C12" s="6">
        <v>2199.962</v>
      </c>
      <c r="D12" s="6">
        <f>(11828.8*2204.622)/1000000</f>
        <v>26.078032713599995</v>
      </c>
      <c r="E12" s="6">
        <f t="shared" si="0"/>
        <v>4319.6630327135999</v>
      </c>
      <c r="F12" s="5"/>
      <c r="G12" s="5">
        <f t="shared" ref="G12:G18" si="2">K12-J12</f>
        <v>2183.9349958948001</v>
      </c>
      <c r="H12" s="105">
        <v>943.34199999999998</v>
      </c>
      <c r="I12" s="6">
        <f t="shared" si="1"/>
        <v>1240.5929958948</v>
      </c>
      <c r="J12" s="6">
        <f>(10635.4*2204.622)/1000000</f>
        <v>23.447036818799997</v>
      </c>
      <c r="K12" s="6">
        <f t="shared" ref="K12:K17" si="3">E12-L12</f>
        <v>2207.3820327136</v>
      </c>
      <c r="L12" s="5">
        <v>2112.2809999999999</v>
      </c>
      <c r="M12" s="138"/>
      <c r="N12" s="86"/>
      <c r="P12" s="34"/>
    </row>
    <row r="13" spans="1:20" ht="13.8">
      <c r="A13" s="15" t="s">
        <v>42</v>
      </c>
      <c r="B13" s="5">
        <f t="shared" ref="B13:B18" si="4">L12</f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2"/>
        <v>1989.2951492472005</v>
      </c>
      <c r="H13" s="105">
        <v>885.65899999999999</v>
      </c>
      <c r="I13" s="6">
        <f t="shared" si="1"/>
        <v>1103.6361492472006</v>
      </c>
      <c r="J13" s="6">
        <f>(15784.8*2204.622)/1000000</f>
        <v>34.799517345599995</v>
      </c>
      <c r="K13" s="6">
        <f t="shared" si="3"/>
        <v>2024.0946665928004</v>
      </c>
      <c r="L13" s="5">
        <v>2306.1469999999999</v>
      </c>
      <c r="M13" s="138"/>
      <c r="N13" s="86"/>
      <c r="P13" s="34"/>
    </row>
    <row r="14" spans="1:20" ht="13.8">
      <c r="A14" s="15" t="s">
        <v>43</v>
      </c>
      <c r="B14" s="5">
        <f t="shared" si="4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2"/>
        <v>2211.8881890357998</v>
      </c>
      <c r="H14" s="159">
        <v>940.94</v>
      </c>
      <c r="I14" s="6">
        <f t="shared" si="1"/>
        <v>1270.9481890357997</v>
      </c>
      <c r="J14" s="6">
        <f>(6991.3*2204.622)/1000000</f>
        <v>15.4131737886</v>
      </c>
      <c r="K14" s="6">
        <f t="shared" si="3"/>
        <v>2227.3013628243998</v>
      </c>
      <c r="L14" s="5">
        <v>2356.4009999999998</v>
      </c>
      <c r="M14" s="138"/>
      <c r="N14" s="86"/>
      <c r="P14" s="34"/>
    </row>
    <row r="15" spans="1:20" ht="13.8">
      <c r="A15" s="15" t="s">
        <v>44</v>
      </c>
      <c r="B15" s="5">
        <f t="shared" si="4"/>
        <v>2356.4009999999998</v>
      </c>
      <c r="C15" s="6">
        <v>2091.2179999999998</v>
      </c>
      <c r="D15" s="107">
        <f>(14704.2*2204.622)/1000000</f>
        <v>32.417202812399999</v>
      </c>
      <c r="E15" s="6">
        <f t="shared" si="0"/>
        <v>4480.0362028124</v>
      </c>
      <c r="F15" s="5"/>
      <c r="G15" s="5">
        <f t="shared" si="2"/>
        <v>2090.2903609479999</v>
      </c>
      <c r="H15" s="159">
        <v>934.12300000000005</v>
      </c>
      <c r="I15" s="6">
        <f t="shared" si="1"/>
        <v>1156.1673609479999</v>
      </c>
      <c r="J15" s="6">
        <f>(11770.2*2204.622)/1000000</f>
        <v>25.948841864399999</v>
      </c>
      <c r="K15" s="6">
        <f t="shared" si="3"/>
        <v>2116.2392028124</v>
      </c>
      <c r="L15" s="5">
        <v>2363.797</v>
      </c>
      <c r="M15" s="138"/>
      <c r="N15" s="86"/>
      <c r="P15" s="34"/>
    </row>
    <row r="16" spans="1:20" ht="13.8">
      <c r="A16" s="15" t="s">
        <v>46</v>
      </c>
      <c r="B16" s="5">
        <f t="shared" si="4"/>
        <v>2363.797</v>
      </c>
      <c r="C16" s="6">
        <v>2339.5810000000001</v>
      </c>
      <c r="D16" s="6">
        <f>(15181.4*2204.622)/1000000</f>
        <v>33.4692484308</v>
      </c>
      <c r="E16" s="6">
        <f t="shared" si="0"/>
        <v>4736.8472484308004</v>
      </c>
      <c r="F16" s="5"/>
      <c r="G16" s="5">
        <f t="shared" si="2"/>
        <v>2336.7097010100006</v>
      </c>
      <c r="H16" s="159">
        <v>952.48</v>
      </c>
      <c r="I16" s="6">
        <f t="shared" si="1"/>
        <v>1384.2297010100006</v>
      </c>
      <c r="J16" s="6">
        <f>(5726.4*2204.622)/1000000</f>
        <v>12.624547420799999</v>
      </c>
      <c r="K16" s="6">
        <f t="shared" si="3"/>
        <v>2349.3342484308005</v>
      </c>
      <c r="L16" s="5">
        <v>2387.5129999999999</v>
      </c>
      <c r="M16" s="138"/>
      <c r="N16" s="86"/>
      <c r="P16" s="34"/>
    </row>
    <row r="17" spans="1:16" ht="13.8">
      <c r="A17" s="15" t="s">
        <v>47</v>
      </c>
      <c r="B17" s="5">
        <f t="shared" si="4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2"/>
        <v>2058.2348802817996</v>
      </c>
      <c r="H17" s="159">
        <v>926.70600000000002</v>
      </c>
      <c r="I17" s="6">
        <f t="shared" si="1"/>
        <v>1131.5288802817995</v>
      </c>
      <c r="J17" s="6">
        <f>(27498.8*2204.622)/1000000</f>
        <v>60.624459453599997</v>
      </c>
      <c r="K17" s="6">
        <f t="shared" si="3"/>
        <v>2118.8593397353998</v>
      </c>
      <c r="L17" s="5">
        <v>2539.6790000000001</v>
      </c>
      <c r="M17" s="138"/>
      <c r="N17" s="86"/>
      <c r="P17" s="34"/>
    </row>
    <row r="18" spans="1:16" ht="13.8">
      <c r="A18" s="15" t="s">
        <v>48</v>
      </c>
      <c r="B18" s="5">
        <f t="shared" si="4"/>
        <v>2539.6790000000001</v>
      </c>
      <c r="C18" s="6">
        <v>2228.3719999999998</v>
      </c>
      <c r="D18" s="6">
        <f>(24574.9*2204.622)/1000000</f>
        <v>54.178365187799997</v>
      </c>
      <c r="E18" s="6">
        <f t="shared" si="0"/>
        <v>4822.2293651877999</v>
      </c>
      <c r="F18" s="5"/>
      <c r="G18" s="5">
        <f t="shared" si="2"/>
        <v>2386.1092736129995</v>
      </c>
      <c r="H18" s="159">
        <v>1140.97</v>
      </c>
      <c r="I18" s="6">
        <f t="shared" ref="I18:I22" si="5">G18-H18</f>
        <v>1245.1392736129994</v>
      </c>
      <c r="J18" s="6">
        <f>(22633.4*2204.622)/1000000</f>
        <v>49.898091574799999</v>
      </c>
      <c r="K18" s="6">
        <f>E18-L18</f>
        <v>2436.0073651877997</v>
      </c>
      <c r="L18" s="5">
        <v>2386.2220000000002</v>
      </c>
      <c r="M18" s="138"/>
      <c r="N18" s="86"/>
      <c r="P18" s="34"/>
    </row>
    <row r="19" spans="1:16" ht="13.8">
      <c r="A19" s="15" t="s">
        <v>50</v>
      </c>
      <c r="B19" s="5">
        <f>L18</f>
        <v>2386.2220000000002</v>
      </c>
      <c r="C19" s="6">
        <v>2074.857</v>
      </c>
      <c r="D19" s="6">
        <f>(7902.1*2204.622)/1000000</f>
        <v>17.4211435062</v>
      </c>
      <c r="E19" s="6">
        <f>SUM(B19:D19)</f>
        <v>4478.5001435061995</v>
      </c>
      <c r="F19" s="5"/>
      <c r="G19" s="5">
        <f>K19-J19</f>
        <v>2235.0292895553998</v>
      </c>
      <c r="H19" s="159">
        <v>1207.0239999999999</v>
      </c>
      <c r="I19" s="6">
        <f t="shared" si="5"/>
        <v>1028.0052895553999</v>
      </c>
      <c r="J19" s="6">
        <f>(18341.4*2204.622)/1000000</f>
        <v>40.435853950800002</v>
      </c>
      <c r="K19" s="6">
        <f>E19-L19</f>
        <v>2275.4651435061996</v>
      </c>
      <c r="L19" s="5">
        <v>2203.0349999999999</v>
      </c>
      <c r="M19" s="138"/>
      <c r="N19" s="86"/>
      <c r="P19" s="34"/>
    </row>
    <row r="20" spans="1:16" ht="13.8">
      <c r="A20" s="15" t="s">
        <v>51</v>
      </c>
      <c r="B20" s="5">
        <f>L19</f>
        <v>2203.0349999999999</v>
      </c>
      <c r="C20" s="6">
        <v>2180.0360000000001</v>
      </c>
      <c r="D20" s="6">
        <f>(12819.4*2204.622)/1000000</f>
        <v>28.261931266799998</v>
      </c>
      <c r="E20" s="6">
        <f>SUM(B20:D20)</f>
        <v>4411.3329312668002</v>
      </c>
      <c r="F20" s="5"/>
      <c r="G20" s="5">
        <f>K20-J20</f>
        <v>2237.9374148913998</v>
      </c>
      <c r="H20" s="159">
        <v>1272.845</v>
      </c>
      <c r="I20" s="100">
        <f t="shared" si="5"/>
        <v>965.09241489139981</v>
      </c>
      <c r="J20" s="6">
        <f>(16870.7*2204.622)/1000000</f>
        <v>37.193516375400002</v>
      </c>
      <c r="K20" s="6">
        <f>E20-L20</f>
        <v>2275.1309312668</v>
      </c>
      <c r="L20" s="5">
        <v>2136.2020000000002</v>
      </c>
      <c r="M20" s="138"/>
      <c r="N20" s="86"/>
      <c r="P20" s="34"/>
    </row>
    <row r="21" spans="1:16" ht="13.8">
      <c r="A21" s="15" t="s">
        <v>52</v>
      </c>
      <c r="B21" s="5">
        <f>L20</f>
        <v>2136.2020000000002</v>
      </c>
      <c r="C21" s="102">
        <v>2014.153</v>
      </c>
      <c r="D21" s="6">
        <f>(21091.6*2204.622)/1000000</f>
        <v>46.499005375199999</v>
      </c>
      <c r="E21" s="6">
        <f>SUM(B21:D21)</f>
        <v>4196.8540053752004</v>
      </c>
      <c r="F21" s="5"/>
      <c r="G21" s="5">
        <f>K21-J21</f>
        <v>2398.3808472406004</v>
      </c>
      <c r="H21" s="159">
        <v>1192.3489999999999</v>
      </c>
      <c r="I21" s="104">
        <f t="shared" si="5"/>
        <v>1206.0318472406004</v>
      </c>
      <c r="J21" s="6">
        <f>(11834.3*2204.622)/1000000</f>
        <v>26.090158134599996</v>
      </c>
      <c r="K21" s="6">
        <f>E21-L21</f>
        <v>2424.4710053752005</v>
      </c>
      <c r="L21" s="5">
        <v>1772.383</v>
      </c>
      <c r="M21" s="138"/>
      <c r="N21" s="86"/>
      <c r="P21" s="34"/>
    </row>
    <row r="22" spans="1:16" ht="13.8">
      <c r="A22" s="15" t="s">
        <v>38</v>
      </c>
      <c r="B22" s="5">
        <f>L21</f>
        <v>1772.383</v>
      </c>
      <c r="C22" s="102">
        <v>2077.0740000000001</v>
      </c>
      <c r="D22" s="6">
        <f>(11301.5*2204.622)/1000000</f>
        <v>24.915535533</v>
      </c>
      <c r="E22" s="6">
        <f>SUM(B22:D22)</f>
        <v>3874.3725355330002</v>
      </c>
      <c r="F22" s="5"/>
      <c r="G22" s="5">
        <f>K22-J22</f>
        <v>2239.3080090746007</v>
      </c>
      <c r="H22" s="159">
        <v>1207.4829999999999</v>
      </c>
      <c r="I22" s="104">
        <f t="shared" si="5"/>
        <v>1031.8250090746008</v>
      </c>
      <c r="J22" s="6">
        <f>(12697.2*2204.622)/1000000</f>
        <v>27.9925264584</v>
      </c>
      <c r="K22" s="6">
        <f>E22-L22</f>
        <v>2267.3005355330006</v>
      </c>
      <c r="L22" s="5">
        <v>1607.0719999999999</v>
      </c>
      <c r="M22" s="138"/>
      <c r="N22" s="86"/>
      <c r="P22" s="34"/>
    </row>
    <row r="23" spans="1:16" ht="13.8">
      <c r="A23" s="15" t="s">
        <v>28</v>
      </c>
      <c r="B23" s="5"/>
      <c r="C23" s="102">
        <f>SUM(C11:C22)</f>
        <v>26227.309000000001</v>
      </c>
      <c r="D23" s="6">
        <f>(170348.4*2204.622)/1000000</f>
        <v>375.55383030479999</v>
      </c>
      <c r="E23" s="6">
        <f>B11+C23+D23</f>
        <v>28594.010830304804</v>
      </c>
      <c r="F23" s="5"/>
      <c r="G23" s="5">
        <f>K23-J23</f>
        <v>26609.029361393004</v>
      </c>
      <c r="H23" s="159">
        <f>SUM(H11:H22)</f>
        <v>12510.33</v>
      </c>
      <c r="I23" s="104">
        <f>G23-H23</f>
        <v>14098.699361393004</v>
      </c>
      <c r="J23" s="6">
        <f>(171417.1*2204.622)/1000000</f>
        <v>377.90990983619997</v>
      </c>
      <c r="K23" s="6">
        <f>SUM(K11:K22)</f>
        <v>26986.939271229203</v>
      </c>
      <c r="L23" s="5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3.8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3.8">
      <c r="A26" s="15" t="s">
        <v>39</v>
      </c>
      <c r="B26" s="5">
        <f>L22</f>
        <v>1607.0719999999999</v>
      </c>
      <c r="C26" s="6">
        <v>2375.654</v>
      </c>
      <c r="D26" s="6">
        <f>(20588.3*2204.622)/1000000</f>
        <v>45.389419122599996</v>
      </c>
      <c r="E26" s="6">
        <f t="shared" ref="E26:E27" si="6">SUM(B26:D26)</f>
        <v>4028.1154191225996</v>
      </c>
      <c r="F26" s="5"/>
      <c r="G26" s="5">
        <f t="shared" ref="G26:G32" si="7">K26-J26</f>
        <v>2513.5540054601997</v>
      </c>
      <c r="H26" s="160">
        <v>1062.24</v>
      </c>
      <c r="I26" s="104">
        <f t="shared" ref="I26" si="8">G26-H26</f>
        <v>1451.3140054601997</v>
      </c>
      <c r="J26" s="6">
        <f>(5879.2*2204.622)/1000000</f>
        <v>12.961413662399998</v>
      </c>
      <c r="K26" s="6">
        <f t="shared" ref="K26:K32" si="9">E26-L26</f>
        <v>2526.5154191225997</v>
      </c>
      <c r="L26" s="6">
        <v>1501.6</v>
      </c>
      <c r="N26" s="34"/>
      <c r="P26" s="34"/>
    </row>
    <row r="27" spans="1:16" ht="13.8">
      <c r="A27" s="15" t="s">
        <v>40</v>
      </c>
      <c r="B27" s="5">
        <f t="shared" ref="B27:B31" si="10"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2250.4175343679999</v>
      </c>
      <c r="H27" s="161">
        <v>1064.6769999999999</v>
      </c>
      <c r="I27" s="104">
        <f t="shared" ref="I27:I34" si="11">G27-H27</f>
        <v>1185.740534368</v>
      </c>
      <c r="J27" s="6">
        <f>(6213.1*2204.622)/1000000</f>
        <v>13.6975369482</v>
      </c>
      <c r="K27" s="6">
        <f t="shared" si="9"/>
        <v>2264.1150713162001</v>
      </c>
      <c r="L27" s="6">
        <v>1599.096</v>
      </c>
      <c r="N27" s="34"/>
      <c r="P27" s="34"/>
    </row>
    <row r="28" spans="1:16" ht="13.8">
      <c r="A28" s="15" t="s">
        <v>42</v>
      </c>
      <c r="B28" s="5">
        <f t="shared" si="10"/>
        <v>1599.096</v>
      </c>
      <c r="C28" s="6">
        <v>2376.2370000000001</v>
      </c>
      <c r="D28" s="6">
        <f>(21905.7*2204.622)/1000000</f>
        <v>48.293788145399994</v>
      </c>
      <c r="E28" s="6">
        <f t="shared" ref="E28:E35" si="12">SUM(B28:D28)</f>
        <v>4023.6267881454</v>
      </c>
      <c r="F28" s="6"/>
      <c r="G28" s="104">
        <f t="shared" si="7"/>
        <v>2186.9834934009996</v>
      </c>
      <c r="H28" s="161">
        <v>1141.8820000000001</v>
      </c>
      <c r="I28" s="104">
        <f t="shared" si="11"/>
        <v>1045.1014934009995</v>
      </c>
      <c r="J28" s="6">
        <f>(5810.2*2204.622)/1000000</f>
        <v>12.809294744399999</v>
      </c>
      <c r="K28" s="6">
        <f t="shared" si="9"/>
        <v>2199.7927881453998</v>
      </c>
      <c r="L28" s="6">
        <v>1823.8340000000001</v>
      </c>
      <c r="N28" s="34"/>
      <c r="P28" s="34"/>
    </row>
    <row r="29" spans="1:16" ht="13.8">
      <c r="A29" s="15" t="s">
        <v>43</v>
      </c>
      <c r="B29" s="5">
        <f t="shared" si="10"/>
        <v>1823.8340000000001</v>
      </c>
      <c r="C29" s="6">
        <v>2288.5720000000001</v>
      </c>
      <c r="D29" s="6">
        <f>(22995*2204.622)/1000000</f>
        <v>50.695282889999994</v>
      </c>
      <c r="E29" s="6">
        <f t="shared" si="12"/>
        <v>4163.1012828900002</v>
      </c>
      <c r="F29" s="6"/>
      <c r="G29" s="104">
        <f t="shared" si="7"/>
        <v>2122.8299197475999</v>
      </c>
      <c r="H29" s="6">
        <v>960.20299999999997</v>
      </c>
      <c r="I29" s="104">
        <f t="shared" si="11"/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4"/>
    </row>
    <row r="30" spans="1:16" ht="13.8">
      <c r="A30" s="15" t="s">
        <v>44</v>
      </c>
      <c r="B30" s="5">
        <f t="shared" si="10"/>
        <v>2028.7650000000001</v>
      </c>
      <c r="C30" s="6">
        <v>2292.36</v>
      </c>
      <c r="D30" s="6">
        <f>(15950.7*2204.622)/1000000</f>
        <v>35.165264135399994</v>
      </c>
      <c r="E30" s="6">
        <f t="shared" si="12"/>
        <v>4356.2902641354003</v>
      </c>
      <c r="F30" s="6"/>
      <c r="G30" s="104">
        <f t="shared" si="7"/>
        <v>2193.7767908488004</v>
      </c>
      <c r="H30" s="6">
        <v>888.49</v>
      </c>
      <c r="I30" s="104">
        <f t="shared" si="11"/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4"/>
    </row>
    <row r="31" spans="1:16" ht="13.8">
      <c r="A31" s="15" t="s">
        <v>46</v>
      </c>
      <c r="B31" s="5">
        <f t="shared" si="10"/>
        <v>2148.2930000000001</v>
      </c>
      <c r="C31" s="6">
        <v>2405.5709999999999</v>
      </c>
      <c r="D31" s="6">
        <f>(22598.7*2204.622)/1000000</f>
        <v>49.821591191399996</v>
      </c>
      <c r="E31" s="6">
        <f t="shared" si="12"/>
        <v>4603.6855911913999</v>
      </c>
      <c r="F31" s="6"/>
      <c r="G31" s="104">
        <f t="shared" si="7"/>
        <v>2135.8192490381998</v>
      </c>
      <c r="H31" s="6">
        <v>1026.1990000000001</v>
      </c>
      <c r="I31" s="104">
        <f t="shared" si="11"/>
        <v>1109.6202490381997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4"/>
    </row>
    <row r="32" spans="1:16" ht="13.8">
      <c r="A32" s="15" t="s">
        <v>47</v>
      </c>
      <c r="B32" s="5">
        <f>L31</f>
        <v>2369.12</v>
      </c>
      <c r="C32" s="6">
        <v>2097.7559999999999</v>
      </c>
      <c r="D32" s="6">
        <f>(24996.9*2204.622)/1000000</f>
        <v>55.108715671800006</v>
      </c>
      <c r="E32" s="6">
        <f t="shared" si="12"/>
        <v>4521.9847156718006</v>
      </c>
      <c r="F32" s="6"/>
      <c r="G32" s="104">
        <f t="shared" si="7"/>
        <v>2188.2718875420005</v>
      </c>
      <c r="H32" s="6">
        <v>1070.029</v>
      </c>
      <c r="I32" s="104">
        <f t="shared" si="11"/>
        <v>1118.2428875420005</v>
      </c>
      <c r="J32" s="6">
        <f>(10135.9*2204.622)/1000000</f>
        <v>22.345828129800001</v>
      </c>
      <c r="K32" s="6">
        <f t="shared" si="9"/>
        <v>2210.6177156718004</v>
      </c>
      <c r="L32" s="6">
        <v>2311.3670000000002</v>
      </c>
      <c r="N32" s="34"/>
    </row>
    <row r="33" spans="1:14" ht="13.8">
      <c r="A33" s="15" t="s">
        <v>48</v>
      </c>
      <c r="B33" s="5">
        <f>L32</f>
        <v>2311.3670000000002</v>
      </c>
      <c r="C33" s="6">
        <v>2268.8420000000001</v>
      </c>
      <c r="D33" s="6">
        <f>(40370*2204.622)/1000000</f>
        <v>89.00059014</v>
      </c>
      <c r="E33" s="6">
        <f t="shared" si="12"/>
        <v>4669.2095901400007</v>
      </c>
      <c r="F33" s="6"/>
      <c r="G33" s="104">
        <f t="shared" ref="G33:G35" si="13">K33-J33</f>
        <v>2387.1196363152008</v>
      </c>
      <c r="H33" s="6">
        <v>1076.011</v>
      </c>
      <c r="I33" s="104">
        <f t="shared" si="11"/>
        <v>1311.1086363152008</v>
      </c>
      <c r="J33" s="6">
        <f>(42508.4*2204.622)/1000000</f>
        <v>93.714953824800006</v>
      </c>
      <c r="K33" s="6">
        <f t="shared" ref="K33:K34" si="14">E33-L33</f>
        <v>2480.8345901400007</v>
      </c>
      <c r="L33" s="6">
        <v>2188.375</v>
      </c>
      <c r="N33" s="34"/>
    </row>
    <row r="34" spans="1:14" ht="13.8">
      <c r="A34" s="15" t="s">
        <v>50</v>
      </c>
      <c r="B34" s="5">
        <f>L33</f>
        <v>2188.375</v>
      </c>
      <c r="C34" s="6">
        <v>2183.6149999999998</v>
      </c>
      <c r="D34" s="6">
        <f>(45970.5*2204.622)/1000000</f>
        <v>101.347575651</v>
      </c>
      <c r="E34" s="6">
        <f t="shared" si="12"/>
        <v>4473.3375756509995</v>
      </c>
      <c r="F34" s="6"/>
      <c r="G34" s="104">
        <f t="shared" si="13"/>
        <v>2232.7034918979998</v>
      </c>
      <c r="H34" s="6">
        <v>1266.837</v>
      </c>
      <c r="I34" s="104">
        <f t="shared" si="11"/>
        <v>965.86649189799982</v>
      </c>
      <c r="J34" s="6">
        <f>(52311.5*2204.622)/1000000</f>
        <v>115.327083753</v>
      </c>
      <c r="K34" s="6">
        <f t="shared" si="14"/>
        <v>2348.0305756509997</v>
      </c>
      <c r="L34" s="6">
        <v>2125.3069999999998</v>
      </c>
      <c r="N34" s="34"/>
    </row>
    <row r="35" spans="1:14" ht="13.8">
      <c r="A35" s="15" t="s">
        <v>51</v>
      </c>
      <c r="B35" s="5">
        <f>L34</f>
        <v>2125.3069999999998</v>
      </c>
      <c r="C35" s="6">
        <v>2304.7849999999999</v>
      </c>
      <c r="D35" s="6">
        <f>(33095.7*2204.622)/1000000</f>
        <v>72.963508325399999</v>
      </c>
      <c r="E35" s="6">
        <f t="shared" si="12"/>
        <v>4503.0555083253994</v>
      </c>
      <c r="F35" s="6"/>
      <c r="G35" s="104">
        <f t="shared" si="13"/>
        <v>2396.9461514969994</v>
      </c>
      <c r="H35" s="6" t="s">
        <v>76</v>
      </c>
      <c r="I35" s="6" t="s">
        <v>76</v>
      </c>
      <c r="J35" s="6">
        <f>(44032.2*2204.622)/1000000</f>
        <v>97.074356828399985</v>
      </c>
      <c r="K35" s="6">
        <f t="shared" ref="K35" si="15">E35-L35</f>
        <v>2494.0205083253995</v>
      </c>
      <c r="L35" s="6">
        <v>2009.0350000000001</v>
      </c>
      <c r="N35" s="34"/>
    </row>
    <row r="36" spans="1:14" ht="16.2">
      <c r="A36" s="79" t="s">
        <v>77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4" ht="14.4">
      <c r="A37" s="15" t="s">
        <v>69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4" ht="13.8">
      <c r="A38" s="20" t="s">
        <v>57</v>
      </c>
      <c r="B38" s="36">
        <f>Contents!A17</f>
        <v>45551</v>
      </c>
      <c r="K38" s="34"/>
    </row>
    <row r="39" spans="1:14">
      <c r="E39" s="34"/>
    </row>
    <row r="40" spans="1:14">
      <c r="H40" s="91"/>
    </row>
  </sheetData>
  <mergeCells count="3">
    <mergeCell ref="B5:L5"/>
    <mergeCell ref="G2:I2"/>
    <mergeCell ref="B2:E2"/>
  </mergeCells>
  <phoneticPr fontId="49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21875" defaultRowHeight="13.2"/>
  <cols>
    <col min="1" max="1" width="15.44140625" customWidth="1"/>
    <col min="2" max="2" width="13.21875" customWidth="1"/>
    <col min="3" max="3" width="12.2187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81" t="s">
        <v>58</v>
      </c>
      <c r="C2" s="181"/>
      <c r="D2" s="181"/>
      <c r="E2" s="181"/>
      <c r="F2" s="69"/>
      <c r="G2" s="181" t="s">
        <v>59</v>
      </c>
      <c r="H2" s="181"/>
      <c r="I2" s="181"/>
      <c r="J2" s="181"/>
      <c r="K2" s="69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5" t="s">
        <v>26</v>
      </c>
      <c r="D4" s="25" t="s">
        <v>71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184" t="s">
        <v>84</v>
      </c>
      <c r="C5" s="184"/>
      <c r="D5" s="184"/>
      <c r="E5" s="184"/>
      <c r="F5" s="184"/>
      <c r="G5" s="184"/>
      <c r="H5" s="184"/>
      <c r="I5" s="184"/>
      <c r="J5" s="184"/>
      <c r="K5" s="184"/>
      <c r="L5" s="15"/>
      <c r="M5" s="15"/>
      <c r="N5" s="15"/>
      <c r="O5" s="15"/>
    </row>
    <row r="6" spans="1:15" ht="13.8">
      <c r="A6" s="15" t="s">
        <v>37</v>
      </c>
      <c r="B6" s="71">
        <v>395.42099999999999</v>
      </c>
      <c r="C6" s="71">
        <v>4415</v>
      </c>
      <c r="D6" s="131">
        <v>101.14</v>
      </c>
      <c r="E6" s="71">
        <f>B6+C6+D6</f>
        <v>4911.5610000000006</v>
      </c>
      <c r="F6" s="72"/>
      <c r="G6" s="71">
        <v>1389.82</v>
      </c>
      <c r="H6" s="132">
        <v>185.61</v>
      </c>
      <c r="I6" s="71">
        <f>J6-G6-H6</f>
        <v>2950.9960000000005</v>
      </c>
      <c r="J6" s="71">
        <f>E6-K6</f>
        <v>4526.4260000000004</v>
      </c>
      <c r="K6" s="133">
        <v>385.13499999999999</v>
      </c>
      <c r="L6" s="134"/>
      <c r="M6" s="134"/>
      <c r="N6" s="134"/>
      <c r="O6" s="15"/>
    </row>
    <row r="7" spans="1:15" ht="16.2">
      <c r="A7" s="15" t="s">
        <v>155</v>
      </c>
      <c r="B7" s="71">
        <f>K6</f>
        <v>385.13499999999999</v>
      </c>
      <c r="C7" s="71">
        <v>3644</v>
      </c>
      <c r="D7" s="131">
        <v>24.143999999999998</v>
      </c>
      <c r="E7" s="71">
        <f>B7+C7+D7</f>
        <v>4053.279</v>
      </c>
      <c r="F7" s="72"/>
      <c r="G7" s="71">
        <v>1371.923</v>
      </c>
      <c r="H7" s="132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34"/>
      <c r="M7" s="15"/>
      <c r="N7" s="134"/>
      <c r="O7" s="15"/>
    </row>
    <row r="8" spans="1:15" ht="16.2">
      <c r="A8" s="14" t="s">
        <v>156</v>
      </c>
      <c r="B8" s="172">
        <f>K7</f>
        <v>370.06899999999996</v>
      </c>
      <c r="C8" s="172">
        <v>4425</v>
      </c>
      <c r="D8" s="173">
        <v>25</v>
      </c>
      <c r="E8" s="172">
        <f>B8+C8+D8</f>
        <v>4820.0689999999995</v>
      </c>
      <c r="F8" s="174"/>
      <c r="G8" s="172">
        <v>1400</v>
      </c>
      <c r="H8" s="175">
        <v>350</v>
      </c>
      <c r="I8" s="172">
        <v>2695</v>
      </c>
      <c r="J8" s="172">
        <f>SUM(G8:I8)</f>
        <v>4445</v>
      </c>
      <c r="K8" s="172">
        <f>E8-J8</f>
        <v>375.06899999999951</v>
      </c>
      <c r="L8" s="15"/>
      <c r="M8" s="15"/>
      <c r="N8" s="15"/>
      <c r="O8" s="15"/>
    </row>
    <row r="9" spans="1:15" ht="16.2">
      <c r="A9" s="40" t="s">
        <v>85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86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87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81" t="s">
        <v>58</v>
      </c>
      <c r="C15" s="181"/>
      <c r="D15" s="181"/>
      <c r="E15" s="181"/>
      <c r="F15" s="15"/>
      <c r="G15" s="181" t="s">
        <v>59</v>
      </c>
      <c r="H15" s="181"/>
      <c r="I15" s="181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26</v>
      </c>
      <c r="D17" s="25" t="s">
        <v>71</v>
      </c>
      <c r="E17" s="23" t="s">
        <v>83</v>
      </c>
      <c r="F17" s="24"/>
      <c r="G17" s="71" t="s">
        <v>88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84" t="s">
        <v>89</v>
      </c>
      <c r="C18" s="184"/>
      <c r="D18" s="184"/>
      <c r="E18" s="184"/>
      <c r="F18" s="184"/>
      <c r="G18" s="184"/>
      <c r="H18" s="184"/>
      <c r="I18" s="184"/>
      <c r="J18" s="184"/>
      <c r="K18" s="15"/>
      <c r="L18" s="15"/>
      <c r="M18" s="15"/>
      <c r="N18" s="15"/>
      <c r="O18" s="15"/>
    </row>
    <row r="19" spans="1:15" ht="13.8">
      <c r="A19" s="15" t="s">
        <v>37</v>
      </c>
      <c r="B19" s="71">
        <v>22.315999999999999</v>
      </c>
      <c r="C19" s="132">
        <v>589.51700000000005</v>
      </c>
      <c r="D19" s="131">
        <v>0</v>
      </c>
      <c r="E19" s="132">
        <f>B19+C19+D19</f>
        <v>611.83300000000008</v>
      </c>
      <c r="F19" s="72"/>
      <c r="G19" s="132">
        <f>E19-J19-H19</f>
        <v>526.202</v>
      </c>
      <c r="H19" s="132">
        <v>53.07</v>
      </c>
      <c r="I19" s="132">
        <f>SUM(G19:H19)</f>
        <v>579.27200000000005</v>
      </c>
      <c r="J19" s="71">
        <v>32.561</v>
      </c>
      <c r="K19" s="15"/>
      <c r="L19" s="134"/>
      <c r="M19" s="15"/>
      <c r="N19" s="15"/>
      <c r="O19" s="15"/>
    </row>
    <row r="20" spans="1:15" ht="16.2">
      <c r="A20" s="15" t="s">
        <v>155</v>
      </c>
      <c r="B20" s="71">
        <f>J19</f>
        <v>32.561</v>
      </c>
      <c r="C20" s="132">
        <v>600</v>
      </c>
      <c r="D20" s="131">
        <v>0</v>
      </c>
      <c r="E20" s="132">
        <f>B20+C20+D20</f>
        <v>632.56100000000004</v>
      </c>
      <c r="F20" s="72"/>
      <c r="G20" s="132">
        <v>538</v>
      </c>
      <c r="H20" s="132">
        <v>60</v>
      </c>
      <c r="I20" s="132">
        <f>SUM(G20:H20)</f>
        <v>598</v>
      </c>
      <c r="J20" s="71">
        <f>E20-I20</f>
        <v>34.561000000000035</v>
      </c>
      <c r="K20" s="15"/>
      <c r="L20" s="15"/>
      <c r="M20" s="15"/>
      <c r="N20" s="15"/>
      <c r="O20" s="15"/>
    </row>
    <row r="21" spans="1:15" ht="16.2">
      <c r="A21" s="14" t="s">
        <v>156</v>
      </c>
      <c r="B21" s="172">
        <f>J20</f>
        <v>34.561000000000035</v>
      </c>
      <c r="C21" s="175">
        <v>615</v>
      </c>
      <c r="D21" s="173">
        <v>0</v>
      </c>
      <c r="E21" s="175">
        <f>B21+C21+D21</f>
        <v>649.56100000000004</v>
      </c>
      <c r="F21" s="174"/>
      <c r="G21" s="175">
        <v>550</v>
      </c>
      <c r="H21" s="175">
        <v>60</v>
      </c>
      <c r="I21" s="175">
        <f>SUM(G21:H21)</f>
        <v>610</v>
      </c>
      <c r="J21" s="172">
        <f>E21-I21</f>
        <v>39.561000000000035</v>
      </c>
      <c r="K21" s="15"/>
      <c r="L21" s="15"/>
      <c r="M21" s="15"/>
      <c r="N21" s="15"/>
      <c r="O21" s="15"/>
    </row>
    <row r="22" spans="1:15" ht="16.2">
      <c r="A22" s="40" t="s">
        <v>85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81" t="s">
        <v>58</v>
      </c>
      <c r="C27" s="181"/>
      <c r="D27" s="181"/>
      <c r="E27" s="181"/>
      <c r="F27" s="15"/>
      <c r="G27" s="181" t="s">
        <v>59</v>
      </c>
      <c r="H27" s="181"/>
      <c r="I27" s="181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83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84" t="s">
        <v>75</v>
      </c>
      <c r="C30" s="184"/>
      <c r="D30" s="184"/>
      <c r="E30" s="184"/>
      <c r="F30" s="184"/>
      <c r="G30" s="184"/>
      <c r="H30" s="184"/>
      <c r="I30" s="184"/>
      <c r="J30" s="184"/>
      <c r="K30" s="15"/>
      <c r="L30" s="15"/>
      <c r="M30" s="15"/>
      <c r="N30" s="15"/>
      <c r="O30" s="15"/>
    </row>
    <row r="31" spans="1:15" ht="13.8">
      <c r="A31" s="15" t="s">
        <v>37</v>
      </c>
      <c r="B31" s="131">
        <v>49.698</v>
      </c>
      <c r="C31" s="132">
        <v>365.27800000000002</v>
      </c>
      <c r="D31" s="131">
        <v>15.95</v>
      </c>
      <c r="E31" s="135">
        <f>B31+C31+D31</f>
        <v>430.92599999999999</v>
      </c>
      <c r="F31" s="72"/>
      <c r="G31" s="132">
        <v>310</v>
      </c>
      <c r="H31" s="132">
        <v>71.13</v>
      </c>
      <c r="I31" s="132">
        <f>SUM(G31:H31)</f>
        <v>381.13</v>
      </c>
      <c r="J31" s="132">
        <f>E31-I31</f>
        <v>49.795999999999992</v>
      </c>
      <c r="K31" s="15"/>
      <c r="L31" s="134"/>
      <c r="M31" s="15"/>
      <c r="N31" s="15"/>
      <c r="O31" s="15"/>
    </row>
    <row r="32" spans="1:15" ht="16.2">
      <c r="A32" s="15" t="s">
        <v>155</v>
      </c>
      <c r="B32" s="131">
        <f>J31</f>
        <v>49.795999999999992</v>
      </c>
      <c r="C32" s="132">
        <v>375</v>
      </c>
      <c r="D32" s="131">
        <v>5</v>
      </c>
      <c r="E32" s="135">
        <f>B32+C32+D32</f>
        <v>429.79599999999999</v>
      </c>
      <c r="F32" s="72"/>
      <c r="G32" s="132">
        <v>360</v>
      </c>
      <c r="H32" s="132">
        <v>20</v>
      </c>
      <c r="I32" s="132">
        <f>SUM(G32:H32)</f>
        <v>380</v>
      </c>
      <c r="J32" s="132">
        <f>E32-I32</f>
        <v>49.795999999999992</v>
      </c>
      <c r="K32" s="15"/>
      <c r="L32" s="15"/>
      <c r="M32" s="15"/>
      <c r="N32" s="15"/>
      <c r="O32" s="15"/>
    </row>
    <row r="33" spans="1:18" ht="16.2">
      <c r="A33" s="14" t="s">
        <v>156</v>
      </c>
      <c r="B33" s="173">
        <f>J32</f>
        <v>49.795999999999992</v>
      </c>
      <c r="C33" s="175">
        <v>375</v>
      </c>
      <c r="D33" s="173">
        <v>5</v>
      </c>
      <c r="E33" s="176">
        <f>B33+C33+D33</f>
        <v>429.79599999999999</v>
      </c>
      <c r="F33" s="174"/>
      <c r="G33" s="175">
        <v>330</v>
      </c>
      <c r="H33" s="175">
        <v>50</v>
      </c>
      <c r="I33" s="175">
        <f>SUM(G33:H33)</f>
        <v>380</v>
      </c>
      <c r="J33" s="175">
        <f>E33-I33</f>
        <v>49.795999999999992</v>
      </c>
      <c r="K33" s="15"/>
      <c r="L33" s="15"/>
      <c r="M33" s="15"/>
      <c r="N33" s="15"/>
      <c r="O33" s="15"/>
    </row>
    <row r="34" spans="1:18" ht="16.2">
      <c r="A34" s="40" t="s">
        <v>85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10"/>
    </row>
    <row r="35" spans="1:18" ht="14.4">
      <c r="A35" s="15" t="s">
        <v>90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10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181" t="s">
        <v>13</v>
      </c>
      <c r="C39" s="181"/>
      <c r="D39" s="17" t="s">
        <v>14</v>
      </c>
      <c r="E39" s="181" t="s">
        <v>15</v>
      </c>
      <c r="F39" s="181"/>
      <c r="G39" s="181"/>
      <c r="H39" s="181"/>
      <c r="I39" s="15"/>
      <c r="J39" s="181" t="s">
        <v>59</v>
      </c>
      <c r="K39" s="181"/>
      <c r="L39" s="181"/>
      <c r="M39" s="181"/>
      <c r="N39" s="181"/>
      <c r="O39" s="69"/>
    </row>
    <row r="40" spans="1:18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2" t="s">
        <v>88</v>
      </c>
      <c r="K40" s="17"/>
      <c r="L40" s="17" t="s">
        <v>22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8" ht="14.4">
      <c r="A42" s="15"/>
      <c r="B42" s="185" t="s">
        <v>92</v>
      </c>
      <c r="C42" s="186"/>
      <c r="D42" s="74" t="s">
        <v>93</v>
      </c>
      <c r="E42" s="187" t="s">
        <v>94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6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37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32">
        <v>102.91</v>
      </c>
      <c r="H44" s="71">
        <f>SUM(E44:G44)</f>
        <v>8004.9390000000003</v>
      </c>
      <c r="I44" s="71"/>
      <c r="J44" s="71">
        <v>3201</v>
      </c>
      <c r="K44" s="71">
        <v>794.7</v>
      </c>
      <c r="L44" s="132">
        <f>N44-J44-K44-M44</f>
        <v>779.03600000000006</v>
      </c>
      <c r="M44" s="132">
        <v>1197.117</v>
      </c>
      <c r="N44" s="71">
        <f>H44-O44</f>
        <v>5971.8530000000001</v>
      </c>
      <c r="O44" s="71">
        <v>2033.086</v>
      </c>
      <c r="P44" s="110"/>
      <c r="Q44" s="110"/>
    </row>
    <row r="45" spans="1:18" ht="16.2">
      <c r="A45" s="15" t="s">
        <v>155</v>
      </c>
      <c r="B45" s="71">
        <v>1645</v>
      </c>
      <c r="C45" s="71">
        <v>1574</v>
      </c>
      <c r="D45" s="71">
        <f>F45*1000/C45</f>
        <v>3742.0711562897077</v>
      </c>
      <c r="E45" s="71">
        <f>O44</f>
        <v>2033.086</v>
      </c>
      <c r="F45" s="71">
        <v>5890.02</v>
      </c>
      <c r="G45" s="132">
        <v>104.31399999999999</v>
      </c>
      <c r="H45" s="71">
        <f>SUM(E45:G45)</f>
        <v>8027.420000000001</v>
      </c>
      <c r="I45" s="71"/>
      <c r="J45" s="71">
        <v>2990</v>
      </c>
      <c r="K45" s="71">
        <v>654.23599999999999</v>
      </c>
      <c r="L45" s="132">
        <f>N45-J45-K45-M45</f>
        <v>1447.2150000000008</v>
      </c>
      <c r="M45" s="132">
        <v>1455.347</v>
      </c>
      <c r="N45" s="71">
        <f>H45-O45</f>
        <v>6546.7980000000007</v>
      </c>
      <c r="O45" s="71">
        <f>1480.622</f>
        <v>1480.6220000000001</v>
      </c>
      <c r="P45" s="110"/>
      <c r="Q45" s="110"/>
    </row>
    <row r="46" spans="1:18" ht="16.2">
      <c r="A46" s="14" t="s">
        <v>156</v>
      </c>
      <c r="B46" s="172">
        <v>1805</v>
      </c>
      <c r="C46" s="172">
        <v>1749</v>
      </c>
      <c r="D46" s="172">
        <f>F46*1000/C46</f>
        <v>3836.3636363636365</v>
      </c>
      <c r="E46" s="172">
        <f>O45</f>
        <v>1480.6220000000001</v>
      </c>
      <c r="F46" s="172">
        <v>6709.8</v>
      </c>
      <c r="G46" s="175">
        <v>100</v>
      </c>
      <c r="H46" s="172">
        <f>SUM(E46:G46)</f>
        <v>8290.4220000000005</v>
      </c>
      <c r="I46" s="172"/>
      <c r="J46" s="172">
        <v>3190</v>
      </c>
      <c r="K46" s="172">
        <v>800</v>
      </c>
      <c r="L46" s="175">
        <v>1175.625</v>
      </c>
      <c r="M46" s="175">
        <v>1400</v>
      </c>
      <c r="N46" s="172">
        <f>SUM(J46:M46)</f>
        <v>6565.625</v>
      </c>
      <c r="O46" s="172">
        <f>H46-N46</f>
        <v>1724.7970000000005</v>
      </c>
      <c r="P46" s="110"/>
      <c r="Q46" s="110"/>
    </row>
    <row r="47" spans="1:18" ht="16.2">
      <c r="A47" s="40" t="s">
        <v>85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Contents!A17</f>
        <v>45551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55" customHeight="1">
      <c r="A51" s="76"/>
      <c r="B51" s="77"/>
      <c r="C51" s="77"/>
      <c r="D51" s="77"/>
      <c r="E51" s="77"/>
      <c r="F51" s="77"/>
      <c r="G51" s="77"/>
      <c r="H51" s="77"/>
      <c r="I51" s="77"/>
      <c r="J51" s="90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49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50"/>
  <sheetViews>
    <sheetView showGridLines="0" zoomScale="70" zoomScaleNormal="70" workbookViewId="0">
      <pane xSplit="1" ySplit="4" topLeftCell="B5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ColWidth="9.21875" defaultRowHeight="13.2"/>
  <cols>
    <col min="1" max="1" width="11.5546875" customWidth="1"/>
    <col min="2" max="2" width="18.77734375" bestFit="1" customWidth="1"/>
    <col min="3" max="3" width="22.21875" bestFit="1" customWidth="1"/>
    <col min="4" max="4" width="23.77734375" customWidth="1"/>
    <col min="5" max="5" width="25.44140625" customWidth="1"/>
    <col min="6" max="6" width="16.5546875" bestFit="1" customWidth="1"/>
    <col min="7" max="7" width="18.777343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104</v>
      </c>
      <c r="C4" s="46" t="s">
        <v>105</v>
      </c>
      <c r="D4" s="46" t="s">
        <v>106</v>
      </c>
      <c r="E4" s="46" t="s">
        <v>106</v>
      </c>
      <c r="F4" s="46" t="s">
        <v>107</v>
      </c>
      <c r="G4" s="46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109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110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111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112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113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114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115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116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117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118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34</v>
      </c>
      <c r="B17" s="47">
        <v>13.3</v>
      </c>
      <c r="C17" s="47">
        <v>243</v>
      </c>
      <c r="D17" s="92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37</v>
      </c>
      <c r="B18" s="47">
        <v>14.2</v>
      </c>
      <c r="C18" s="92">
        <v>306</v>
      </c>
      <c r="D18" s="47">
        <v>27.8</v>
      </c>
      <c r="E18" s="47">
        <v>29.8</v>
      </c>
      <c r="F18" s="47">
        <v>26.8</v>
      </c>
      <c r="G18" s="92">
        <v>17.5</v>
      </c>
      <c r="H18" s="103"/>
      <c r="J18" s="61"/>
    </row>
    <row r="19" spans="1:10" ht="16.2">
      <c r="A19" s="15" t="s">
        <v>119</v>
      </c>
      <c r="B19" s="47">
        <v>12.5</v>
      </c>
      <c r="C19" s="47">
        <v>211</v>
      </c>
      <c r="D19" s="92">
        <v>20.399999999999999</v>
      </c>
      <c r="E19" s="47">
        <v>24.3</v>
      </c>
      <c r="F19" s="47">
        <v>26.9</v>
      </c>
      <c r="G19" s="92">
        <v>12.1</v>
      </c>
      <c r="H19" s="103"/>
      <c r="J19" s="61"/>
    </row>
    <row r="20" spans="1:10" ht="16.2">
      <c r="A20" s="15" t="s">
        <v>154</v>
      </c>
      <c r="B20" s="47">
        <v>10.8</v>
      </c>
      <c r="C20" s="47">
        <v>205</v>
      </c>
      <c r="D20" s="92">
        <v>21.150000000000002</v>
      </c>
      <c r="E20" s="47">
        <v>20.8</v>
      </c>
      <c r="F20" s="47">
        <v>25.5</v>
      </c>
      <c r="G20" s="92">
        <v>13.75</v>
      </c>
      <c r="H20" s="103"/>
      <c r="J20" s="61"/>
    </row>
    <row r="21" spans="1:10" ht="13.8">
      <c r="A21" s="15"/>
      <c r="B21" s="136"/>
      <c r="C21" s="48"/>
      <c r="D21" s="49"/>
      <c r="E21" s="49"/>
      <c r="F21" s="48"/>
      <c r="G21" s="50"/>
      <c r="H21" s="41"/>
      <c r="J21" s="61"/>
    </row>
    <row r="22" spans="1:10" ht="13.8">
      <c r="A22" s="51" t="s">
        <v>37</v>
      </c>
      <c r="B22" s="47"/>
      <c r="C22" s="47"/>
      <c r="D22" s="47"/>
      <c r="E22" s="47"/>
      <c r="F22" s="47"/>
      <c r="G22" s="47"/>
    </row>
    <row r="23" spans="1:10" ht="13.8">
      <c r="A23" s="15" t="s">
        <v>38</v>
      </c>
      <c r="B23" s="92">
        <v>14.2</v>
      </c>
      <c r="C23" s="47">
        <v>316</v>
      </c>
      <c r="D23" s="47">
        <v>32.9</v>
      </c>
      <c r="E23" s="47">
        <v>28.1</v>
      </c>
      <c r="F23" s="47">
        <v>25.6</v>
      </c>
      <c r="G23" s="47">
        <v>18.899999999999999</v>
      </c>
    </row>
    <row r="24" spans="1:10" ht="13.8">
      <c r="A24" s="15" t="s">
        <v>39</v>
      </c>
      <c r="B24" s="47">
        <v>13.5</v>
      </c>
      <c r="C24" s="47">
        <v>340</v>
      </c>
      <c r="D24" s="47">
        <v>29.3</v>
      </c>
      <c r="E24" s="47">
        <v>28.1</v>
      </c>
      <c r="F24" s="47">
        <v>26.400000000000002</v>
      </c>
      <c r="G24" s="47">
        <v>18.600000000000001</v>
      </c>
    </row>
    <row r="25" spans="1:10" ht="13.8">
      <c r="A25" s="15" t="s">
        <v>40</v>
      </c>
      <c r="B25" s="47">
        <v>14</v>
      </c>
      <c r="C25" s="47">
        <v>281</v>
      </c>
      <c r="D25" s="47">
        <v>28.4</v>
      </c>
      <c r="E25" s="47">
        <v>29.2</v>
      </c>
      <c r="F25" s="47">
        <v>28.799999999999997</v>
      </c>
      <c r="G25" s="47">
        <v>19.5</v>
      </c>
    </row>
    <row r="26" spans="1:10" ht="13.8">
      <c r="A26" s="15" t="s">
        <v>42</v>
      </c>
      <c r="B26" s="47">
        <v>14.4</v>
      </c>
      <c r="C26" s="47">
        <v>315</v>
      </c>
      <c r="D26" s="47">
        <v>29.5</v>
      </c>
      <c r="E26" s="47">
        <v>29.2</v>
      </c>
      <c r="F26" s="47">
        <v>24.5</v>
      </c>
      <c r="G26" s="47">
        <v>18.3</v>
      </c>
    </row>
    <row r="27" spans="1:10" ht="13.8">
      <c r="A27" s="15" t="s">
        <v>43</v>
      </c>
      <c r="B27" s="47">
        <v>14.5</v>
      </c>
      <c r="C27" s="47">
        <v>273</v>
      </c>
      <c r="D27" s="47">
        <v>29</v>
      </c>
      <c r="E27" s="47">
        <v>30.1</v>
      </c>
      <c r="F27" s="47">
        <v>27.700000000000003</v>
      </c>
      <c r="G27" s="47">
        <v>17.7</v>
      </c>
    </row>
    <row r="28" spans="1:10" ht="13.8">
      <c r="A28" s="15" t="s">
        <v>44</v>
      </c>
      <c r="B28" s="47">
        <v>15.1</v>
      </c>
      <c r="C28" s="47">
        <v>223</v>
      </c>
      <c r="D28" s="47">
        <v>29.9</v>
      </c>
      <c r="E28" s="47">
        <v>31.7</v>
      </c>
      <c r="F28" s="47">
        <v>27</v>
      </c>
      <c r="G28" s="47">
        <v>15.4</v>
      </c>
    </row>
    <row r="29" spans="1:10" ht="13.8">
      <c r="A29" s="15" t="s">
        <v>46</v>
      </c>
      <c r="B29" s="47">
        <v>14.9</v>
      </c>
      <c r="C29" s="47" t="s">
        <v>76</v>
      </c>
      <c r="D29" s="47">
        <v>27.5</v>
      </c>
      <c r="E29" s="47">
        <v>29.8</v>
      </c>
      <c r="F29" s="47">
        <v>26.700000000000003</v>
      </c>
      <c r="G29" s="47">
        <v>14.8</v>
      </c>
    </row>
    <row r="30" spans="1:10" ht="13.8">
      <c r="A30" s="15" t="s">
        <v>47</v>
      </c>
      <c r="B30" s="47">
        <v>14.9</v>
      </c>
      <c r="C30" s="47" t="s">
        <v>76</v>
      </c>
      <c r="D30" s="47">
        <v>26.9</v>
      </c>
      <c r="E30" s="47">
        <v>26.8</v>
      </c>
      <c r="F30" s="47">
        <v>27.200000000000003</v>
      </c>
      <c r="G30" s="47">
        <v>12.1</v>
      </c>
    </row>
    <row r="31" spans="1:10" ht="13.8">
      <c r="A31" s="15" t="s">
        <v>48</v>
      </c>
      <c r="B31" s="47">
        <v>14.4</v>
      </c>
      <c r="C31" s="47" t="s">
        <v>76</v>
      </c>
      <c r="D31" s="47">
        <v>24.9</v>
      </c>
      <c r="E31" s="47">
        <v>25.2</v>
      </c>
      <c r="F31" s="47">
        <v>27.700000000000003</v>
      </c>
      <c r="G31" s="47">
        <v>12.5</v>
      </c>
    </row>
    <row r="32" spans="1:10" ht="13.8">
      <c r="A32" s="15" t="s">
        <v>50</v>
      </c>
      <c r="B32" s="47">
        <v>14.2</v>
      </c>
      <c r="C32" s="47" t="s">
        <v>76</v>
      </c>
      <c r="D32" s="47">
        <v>23.6</v>
      </c>
      <c r="E32" s="47">
        <v>27.3</v>
      </c>
      <c r="F32" s="47">
        <v>27.900000000000002</v>
      </c>
      <c r="G32" s="47">
        <v>13.1</v>
      </c>
    </row>
    <row r="33" spans="1:7" ht="13.8">
      <c r="A33" s="15" t="s">
        <v>51</v>
      </c>
      <c r="B33" s="47">
        <v>14.7</v>
      </c>
      <c r="C33" s="47" t="s">
        <v>76</v>
      </c>
      <c r="D33" s="47">
        <v>25</v>
      </c>
      <c r="E33" s="147">
        <v>27.2</v>
      </c>
      <c r="F33" s="47">
        <v>27.700000000000003</v>
      </c>
      <c r="G33" s="147">
        <v>11</v>
      </c>
    </row>
    <row r="34" spans="1:7" ht="13.8">
      <c r="A34" s="15" t="s">
        <v>52</v>
      </c>
      <c r="B34" s="47">
        <v>14.1</v>
      </c>
      <c r="C34" s="47">
        <v>219</v>
      </c>
      <c r="D34" s="47">
        <v>23.6</v>
      </c>
      <c r="E34" s="147">
        <v>28.1</v>
      </c>
      <c r="F34" s="47">
        <v>27.1</v>
      </c>
      <c r="G34" s="147">
        <v>11.4</v>
      </c>
    </row>
    <row r="35" spans="1:7" ht="13.8">
      <c r="A35" s="15"/>
      <c r="B35" s="47"/>
      <c r="C35" s="47"/>
      <c r="D35" s="47"/>
      <c r="E35" s="147"/>
      <c r="F35" s="47"/>
      <c r="G35" s="147"/>
    </row>
    <row r="36" spans="1:7" ht="13.8">
      <c r="A36" s="51" t="s">
        <v>54</v>
      </c>
      <c r="B36" s="47"/>
      <c r="C36" s="47"/>
      <c r="D36" s="47"/>
      <c r="E36" s="147"/>
      <c r="F36" s="47"/>
      <c r="G36" s="147"/>
    </row>
    <row r="37" spans="1:7" ht="13.8">
      <c r="A37" s="15" t="s">
        <v>38</v>
      </c>
      <c r="B37" s="47">
        <v>13.2</v>
      </c>
      <c r="C37" s="47">
        <v>242</v>
      </c>
      <c r="D37" s="47">
        <v>24</v>
      </c>
      <c r="E37" s="147">
        <v>25</v>
      </c>
      <c r="F37" s="47">
        <v>26.9</v>
      </c>
      <c r="G37" s="147">
        <v>12</v>
      </c>
    </row>
    <row r="38" spans="1:7" ht="13.8">
      <c r="A38" s="15" t="s">
        <v>39</v>
      </c>
      <c r="B38" s="47">
        <v>12.7</v>
      </c>
      <c r="C38" s="47">
        <v>233</v>
      </c>
      <c r="D38" s="47">
        <v>20.100000000000001</v>
      </c>
      <c r="E38" s="147">
        <v>23.7</v>
      </c>
      <c r="F38" s="47">
        <v>26.7</v>
      </c>
      <c r="G38" s="147">
        <v>13</v>
      </c>
    </row>
    <row r="39" spans="1:7" ht="13.8">
      <c r="A39" s="15" t="s">
        <v>40</v>
      </c>
      <c r="B39" s="47">
        <v>13</v>
      </c>
      <c r="C39" s="47">
        <v>226</v>
      </c>
      <c r="D39" s="47">
        <v>22.6</v>
      </c>
      <c r="E39" s="147">
        <v>25.6</v>
      </c>
      <c r="F39" s="47">
        <v>29.4</v>
      </c>
      <c r="G39" s="147">
        <v>12.2</v>
      </c>
    </row>
    <row r="40" spans="1:7" ht="13.8">
      <c r="A40" s="15" t="s">
        <v>42</v>
      </c>
      <c r="B40" s="47">
        <v>13.1</v>
      </c>
      <c r="C40" s="47">
        <v>209</v>
      </c>
      <c r="D40" s="47">
        <v>24.2</v>
      </c>
      <c r="E40" s="147">
        <v>23.9</v>
      </c>
      <c r="F40" s="47">
        <v>23.7</v>
      </c>
      <c r="G40" s="147">
        <v>13.4</v>
      </c>
    </row>
    <row r="41" spans="1:7" ht="13.8">
      <c r="A41" s="15" t="s">
        <v>43</v>
      </c>
      <c r="B41" s="47">
        <v>12.8</v>
      </c>
      <c r="C41" s="47">
        <v>174</v>
      </c>
      <c r="D41" s="47">
        <v>21.3</v>
      </c>
      <c r="E41" s="147">
        <v>24.4</v>
      </c>
      <c r="F41" s="47">
        <v>27.1</v>
      </c>
      <c r="G41" s="147">
        <v>12.1</v>
      </c>
    </row>
    <row r="42" spans="1:7" ht="13.8">
      <c r="A42" s="15" t="s">
        <v>44</v>
      </c>
      <c r="B42" s="47">
        <v>11.9</v>
      </c>
      <c r="C42" s="47">
        <v>177</v>
      </c>
      <c r="D42" s="47">
        <v>22.4</v>
      </c>
      <c r="E42" s="147">
        <v>22.8</v>
      </c>
      <c r="F42" s="47">
        <v>26.4</v>
      </c>
      <c r="G42" s="147">
        <v>12.3</v>
      </c>
    </row>
    <row r="43" spans="1:7" ht="13.8">
      <c r="A43" s="15" t="s">
        <v>46</v>
      </c>
      <c r="B43" s="47">
        <v>11.8</v>
      </c>
      <c r="C43" s="47" t="s">
        <v>76</v>
      </c>
      <c r="D43" s="47">
        <v>22.5</v>
      </c>
      <c r="E43" s="147">
        <v>21.6</v>
      </c>
      <c r="F43" s="47">
        <v>27</v>
      </c>
      <c r="G43" s="147">
        <v>11.5</v>
      </c>
    </row>
    <row r="44" spans="1:7" ht="13.8">
      <c r="A44" s="15" t="s">
        <v>47</v>
      </c>
      <c r="B44" s="47">
        <v>11.8</v>
      </c>
      <c r="C44" s="47" t="s">
        <v>76</v>
      </c>
      <c r="D44" s="47">
        <v>20</v>
      </c>
      <c r="E44" s="147">
        <v>21.9</v>
      </c>
      <c r="F44" s="47">
        <v>27.2</v>
      </c>
      <c r="G44" s="147">
        <v>12.1</v>
      </c>
    </row>
    <row r="45" spans="1:7" ht="13.8">
      <c r="A45" s="15" t="s">
        <v>48</v>
      </c>
      <c r="B45" s="47">
        <v>11.9</v>
      </c>
      <c r="C45" s="47" t="s">
        <v>76</v>
      </c>
      <c r="D45" s="47">
        <v>22.9</v>
      </c>
      <c r="E45" s="147">
        <v>25.1</v>
      </c>
      <c r="F45" s="47">
        <v>26.7</v>
      </c>
      <c r="G45" s="147">
        <v>12.2</v>
      </c>
    </row>
    <row r="46" spans="1:7" s="149" customFormat="1" ht="13.8">
      <c r="A46" s="148" t="s">
        <v>50</v>
      </c>
      <c r="B46" s="147">
        <v>11.8</v>
      </c>
      <c r="C46" s="147" t="s">
        <v>76</v>
      </c>
      <c r="D46" s="147">
        <v>17</v>
      </c>
      <c r="E46" s="147">
        <v>20.6</v>
      </c>
      <c r="F46" s="147">
        <v>26.2</v>
      </c>
      <c r="G46" s="147">
        <v>12</v>
      </c>
    </row>
    <row r="47" spans="1:7" ht="13.8">
      <c r="A47" s="15" t="s">
        <v>51</v>
      </c>
      <c r="B47" s="47">
        <v>11.3</v>
      </c>
      <c r="C47" s="47" t="s">
        <v>76</v>
      </c>
      <c r="D47" s="47">
        <v>20.8</v>
      </c>
      <c r="E47" s="47">
        <v>20.3</v>
      </c>
      <c r="F47" s="47">
        <v>27.3</v>
      </c>
      <c r="G47" s="47">
        <v>12.2</v>
      </c>
    </row>
    <row r="48" spans="1:7" ht="16.2">
      <c r="A48" s="69" t="s">
        <v>120</v>
      </c>
      <c r="B48" s="69"/>
      <c r="C48" s="69"/>
      <c r="D48" s="69"/>
      <c r="E48" s="69"/>
      <c r="F48" s="69"/>
      <c r="G48" s="69"/>
    </row>
    <row r="49" spans="1:7" ht="14.4">
      <c r="A49" s="15" t="s">
        <v>121</v>
      </c>
      <c r="B49" s="15"/>
      <c r="C49" s="15"/>
      <c r="D49" s="15"/>
      <c r="E49" s="15"/>
      <c r="F49" s="15"/>
      <c r="G49" s="15"/>
    </row>
    <row r="50" spans="1:7" ht="13.8">
      <c r="A50" s="20" t="s">
        <v>57</v>
      </c>
      <c r="B50" s="36">
        <f>Contents!A17</f>
        <v>45551</v>
      </c>
      <c r="C50" s="15"/>
      <c r="D50" s="15"/>
      <c r="E50" s="15"/>
      <c r="F50" s="15"/>
      <c r="G50" s="15"/>
    </row>
  </sheetData>
  <phoneticPr fontId="4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71"/>
  <sheetViews>
    <sheetView showGridLines="0" zoomScale="70" zoomScaleNormal="70" workbookViewId="0">
      <pane xSplit="1" ySplit="4" topLeftCell="B5" activePane="bottomRight" state="frozen"/>
      <selection activeCell="J33" sqref="J33"/>
      <selection pane="topRight" activeCell="J33" sqref="J33"/>
      <selection pane="bottomLeft" activeCell="J33" sqref="J33"/>
      <selection pane="bottomRight" activeCell="M14" sqref="M14"/>
    </sheetView>
  </sheetViews>
  <sheetFormatPr defaultColWidth="9.2187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6" width="13.33203125" customWidth="1"/>
    <col min="7" max="7" width="13.2187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96</v>
      </c>
      <c r="B2" s="17" t="s">
        <v>122</v>
      </c>
      <c r="C2" s="17" t="s">
        <v>123</v>
      </c>
      <c r="D2" s="17" t="s">
        <v>124</v>
      </c>
      <c r="E2" s="53" t="s">
        <v>125</v>
      </c>
      <c r="F2" s="53" t="s">
        <v>126</v>
      </c>
      <c r="G2" s="17" t="s">
        <v>127</v>
      </c>
      <c r="H2" s="17" t="s">
        <v>128</v>
      </c>
      <c r="I2" s="54" t="s">
        <v>129</v>
      </c>
      <c r="K2" s="17"/>
      <c r="L2" s="17"/>
    </row>
    <row r="3" spans="1:13" ht="15.6" customHeight="1">
      <c r="A3" s="55" t="s">
        <v>103</v>
      </c>
      <c r="B3" s="23" t="s">
        <v>130</v>
      </c>
      <c r="C3" s="23" t="s">
        <v>131</v>
      </c>
      <c r="D3" s="23" t="s">
        <v>132</v>
      </c>
      <c r="E3" s="23" t="s">
        <v>132</v>
      </c>
      <c r="F3" s="23" t="s">
        <v>133</v>
      </c>
      <c r="G3" s="23" t="s">
        <v>134</v>
      </c>
      <c r="H3" s="23"/>
      <c r="I3" s="23" t="s">
        <v>135</v>
      </c>
    </row>
    <row r="4" spans="1:13" ht="14.4">
      <c r="A4" s="56" t="s">
        <v>136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108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3.8">
      <c r="A7" s="15" t="s">
        <v>109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3.8">
      <c r="A8" s="15" t="s">
        <v>110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3.8">
      <c r="A9" s="15" t="s">
        <v>111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3.8">
      <c r="A10" s="15" t="s">
        <v>112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3.8">
      <c r="A11" s="15" t="s">
        <v>113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3.8">
      <c r="A12" s="15" t="s">
        <v>114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3.8">
      <c r="A13" s="15" t="s">
        <v>115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3.8">
      <c r="A14" s="15" t="s">
        <v>116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3.8">
      <c r="A15" s="15" t="s">
        <v>117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3.8">
      <c r="A16" s="15" t="s">
        <v>118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3.8">
      <c r="A17" s="15" t="s">
        <v>34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3.8">
      <c r="A18" s="15" t="s">
        <v>37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2">
      <c r="A19" s="15" t="s">
        <v>137</v>
      </c>
      <c r="B19" s="47">
        <v>47.5</v>
      </c>
      <c r="C19" s="47">
        <v>79</v>
      </c>
      <c r="D19" s="47">
        <v>58.5</v>
      </c>
      <c r="E19" s="47">
        <v>55.5</v>
      </c>
      <c r="F19" s="47">
        <v>80.099999999999994</v>
      </c>
      <c r="G19" s="92" t="s">
        <v>76</v>
      </c>
      <c r="H19" s="92">
        <v>55</v>
      </c>
      <c r="I19" s="92">
        <v>52</v>
      </c>
      <c r="K19" s="61"/>
      <c r="L19" s="61"/>
      <c r="M19" s="61"/>
    </row>
    <row r="20" spans="1:13" ht="16.2">
      <c r="A20" s="15" t="s">
        <v>157</v>
      </c>
      <c r="B20" s="47">
        <v>42</v>
      </c>
      <c r="C20" s="47">
        <v>70</v>
      </c>
      <c r="D20" s="47">
        <v>62</v>
      </c>
      <c r="E20" s="47">
        <v>49</v>
      </c>
      <c r="F20" s="47">
        <v>75</v>
      </c>
      <c r="G20" s="92" t="s">
        <v>76</v>
      </c>
      <c r="H20" s="92">
        <v>51</v>
      </c>
      <c r="I20" s="92">
        <v>46</v>
      </c>
      <c r="K20" s="61"/>
      <c r="L20" s="61"/>
      <c r="M20" s="61"/>
    </row>
    <row r="21" spans="1:13" ht="13.8">
      <c r="A21" s="15"/>
      <c r="B21" s="162"/>
      <c r="C21" s="162"/>
      <c r="D21" s="162"/>
      <c r="E21" s="162"/>
      <c r="F21" s="163"/>
      <c r="G21" s="162"/>
      <c r="H21" s="162"/>
      <c r="I21" s="162"/>
    </row>
    <row r="22" spans="1:13" ht="13.8">
      <c r="A22" s="30" t="s">
        <v>37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72.67</v>
      </c>
      <c r="C23" s="47">
        <v>110.1875</v>
      </c>
      <c r="D23" s="47">
        <v>93.75</v>
      </c>
      <c r="E23" s="47">
        <v>80.125</v>
      </c>
      <c r="F23" s="47">
        <v>107.75</v>
      </c>
      <c r="G23" s="47">
        <v>65.412499999999994</v>
      </c>
      <c r="H23" s="47">
        <v>88</v>
      </c>
      <c r="I23" s="47">
        <v>88.5</v>
      </c>
      <c r="K23" s="61"/>
      <c r="M23" s="61"/>
    </row>
    <row r="24" spans="1:13" ht="13.8">
      <c r="A24" s="15" t="s">
        <v>40</v>
      </c>
      <c r="B24" s="47">
        <v>79.180000000000007</v>
      </c>
      <c r="C24" s="47">
        <v>116.6875</v>
      </c>
      <c r="D24" s="47">
        <v>106</v>
      </c>
      <c r="E24" s="47">
        <v>84.375</v>
      </c>
      <c r="F24" s="47">
        <v>111</v>
      </c>
      <c r="G24" s="47">
        <v>69.67</v>
      </c>
      <c r="H24" s="47" t="s">
        <v>76</v>
      </c>
      <c r="I24" s="47">
        <v>88.5</v>
      </c>
      <c r="K24" s="61"/>
      <c r="M24" s="61"/>
    </row>
    <row r="25" spans="1:13" ht="13.8">
      <c r="A25" s="15" t="s">
        <v>42</v>
      </c>
      <c r="B25" s="47">
        <v>68.14</v>
      </c>
      <c r="C25" s="47">
        <v>105.1</v>
      </c>
      <c r="D25" s="47">
        <v>92.3</v>
      </c>
      <c r="E25" s="47">
        <v>74.05</v>
      </c>
      <c r="F25" s="47">
        <v>101</v>
      </c>
      <c r="G25" s="47">
        <v>60</v>
      </c>
      <c r="H25" s="47" t="s">
        <v>76</v>
      </c>
      <c r="I25" s="47">
        <v>84</v>
      </c>
      <c r="K25" s="61"/>
      <c r="M25" s="61"/>
    </row>
    <row r="26" spans="1:13" ht="13.8">
      <c r="A26" s="15" t="s">
        <v>43</v>
      </c>
      <c r="B26" s="47">
        <v>66</v>
      </c>
      <c r="C26" s="47">
        <v>102.1875</v>
      </c>
      <c r="D26" s="47">
        <v>85.75</v>
      </c>
      <c r="E26" s="47">
        <v>71.1875</v>
      </c>
      <c r="F26" s="47">
        <v>95.375</v>
      </c>
      <c r="G26" s="47">
        <v>61</v>
      </c>
      <c r="H26" s="47">
        <v>87</v>
      </c>
      <c r="I26" s="47">
        <v>76.125</v>
      </c>
      <c r="K26" s="61"/>
      <c r="M26" s="61"/>
    </row>
    <row r="27" spans="1:13" ht="13.8">
      <c r="A27" s="15" t="s">
        <v>44</v>
      </c>
      <c r="B27" s="47">
        <v>63.242500000000007</v>
      </c>
      <c r="C27" s="47">
        <v>100</v>
      </c>
      <c r="D27" s="47">
        <v>81.25</v>
      </c>
      <c r="E27" s="47">
        <v>68.25</v>
      </c>
      <c r="F27" s="47">
        <v>88</v>
      </c>
      <c r="G27" s="47" t="s">
        <v>76</v>
      </c>
      <c r="H27" s="47" t="s">
        <v>76</v>
      </c>
      <c r="I27" s="47">
        <v>63.95</v>
      </c>
      <c r="K27" s="61"/>
      <c r="M27" s="61"/>
    </row>
    <row r="28" spans="1:13" ht="13.8">
      <c r="A28" s="15" t="s">
        <v>46</v>
      </c>
      <c r="B28" s="47">
        <v>58.83</v>
      </c>
      <c r="C28" s="47">
        <v>96.55</v>
      </c>
      <c r="D28" s="47">
        <v>76.599999999999994</v>
      </c>
      <c r="E28" s="47">
        <v>64.599999999999994</v>
      </c>
      <c r="F28" s="47">
        <v>84.4</v>
      </c>
      <c r="G28" s="47" t="s">
        <v>76</v>
      </c>
      <c r="H28" s="47" t="s">
        <v>76</v>
      </c>
      <c r="I28" s="47">
        <v>66.25</v>
      </c>
      <c r="K28" s="61"/>
      <c r="M28" s="61"/>
    </row>
    <row r="29" spans="1:13" ht="13.8">
      <c r="A29" s="15" t="s">
        <v>47</v>
      </c>
      <c r="B29" s="47">
        <v>55.474999999999994</v>
      </c>
      <c r="C29" s="47">
        <v>92.5625</v>
      </c>
      <c r="D29" s="47">
        <v>73</v>
      </c>
      <c r="E29" s="47">
        <v>62.625</v>
      </c>
      <c r="F29" s="47">
        <v>81.75</v>
      </c>
      <c r="G29" s="47" t="s">
        <v>76</v>
      </c>
      <c r="H29" s="47">
        <v>82</v>
      </c>
      <c r="I29" s="47" t="s">
        <v>76</v>
      </c>
      <c r="K29" s="61"/>
      <c r="M29" s="61"/>
    </row>
    <row r="30" spans="1:13" ht="13.8">
      <c r="A30" s="15" t="s">
        <v>48</v>
      </c>
      <c r="B30" s="47">
        <v>52.484999999999999</v>
      </c>
      <c r="C30" s="47">
        <v>91.75</v>
      </c>
      <c r="D30" s="47">
        <v>68.625</v>
      </c>
      <c r="E30" s="47">
        <v>62.125</v>
      </c>
      <c r="F30" s="47">
        <v>85.5</v>
      </c>
      <c r="G30" s="47">
        <v>52</v>
      </c>
      <c r="H30" s="47" t="s">
        <v>76</v>
      </c>
      <c r="I30" s="47" t="s">
        <v>76</v>
      </c>
      <c r="K30" s="61"/>
      <c r="M30" s="61"/>
    </row>
    <row r="31" spans="1:13" ht="13.8">
      <c r="A31" s="15" t="s">
        <v>50</v>
      </c>
      <c r="B31" s="47">
        <v>60.007999999999996</v>
      </c>
      <c r="C31" s="47">
        <v>97.85</v>
      </c>
      <c r="D31" s="47">
        <v>67</v>
      </c>
      <c r="E31" s="47">
        <v>71.849999999999994</v>
      </c>
      <c r="F31" s="47">
        <v>89.6</v>
      </c>
      <c r="G31" s="47" t="s">
        <v>76</v>
      </c>
      <c r="H31" s="47">
        <v>80</v>
      </c>
      <c r="I31" s="47">
        <v>74.59</v>
      </c>
      <c r="K31" s="61"/>
      <c r="M31" s="61"/>
    </row>
    <row r="32" spans="1:13" ht="13.8">
      <c r="A32" s="15" t="s">
        <v>51</v>
      </c>
      <c r="B32" s="47">
        <v>70.887499999999989</v>
      </c>
      <c r="C32" s="47">
        <v>107.75</v>
      </c>
      <c r="D32" s="47">
        <v>73.25</v>
      </c>
      <c r="E32" s="47">
        <v>83</v>
      </c>
      <c r="F32" s="47">
        <v>94.25</v>
      </c>
      <c r="G32" s="47" t="s">
        <v>76</v>
      </c>
      <c r="H32" s="47" t="s">
        <v>76</v>
      </c>
      <c r="I32" s="47">
        <v>74.625</v>
      </c>
      <c r="K32" s="61"/>
      <c r="M32" s="61"/>
    </row>
    <row r="33" spans="1:13" ht="13.8">
      <c r="A33" s="15" t="s">
        <v>52</v>
      </c>
      <c r="B33" s="47">
        <v>70.966999999999999</v>
      </c>
      <c r="C33" s="47">
        <v>108.19</v>
      </c>
      <c r="D33" s="47">
        <v>72.69</v>
      </c>
      <c r="E33" s="47">
        <v>81.69</v>
      </c>
      <c r="F33" s="47">
        <v>95.25</v>
      </c>
      <c r="G33" s="47" t="s">
        <v>76</v>
      </c>
      <c r="H33" s="47" t="s">
        <v>76</v>
      </c>
      <c r="I33" s="47">
        <v>76.7</v>
      </c>
      <c r="K33" s="61"/>
      <c r="M33" s="61"/>
    </row>
    <row r="34" spans="1:13" ht="13.8">
      <c r="A34" s="15" t="s">
        <v>38</v>
      </c>
      <c r="B34" s="47">
        <v>65.227999999999994</v>
      </c>
      <c r="C34" s="47">
        <v>101.5</v>
      </c>
      <c r="D34" s="47">
        <v>71.099999999999994</v>
      </c>
      <c r="E34" s="47">
        <v>73.75</v>
      </c>
      <c r="F34" s="47">
        <v>88.4</v>
      </c>
      <c r="G34" s="47" t="s">
        <v>76</v>
      </c>
      <c r="H34" s="47" t="s">
        <v>76</v>
      </c>
      <c r="I34" s="47">
        <v>76.25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54</v>
      </c>
      <c r="B36" s="47"/>
      <c r="C36" s="47"/>
      <c r="D36" s="47"/>
      <c r="E36" s="47"/>
      <c r="F36" s="47"/>
      <c r="G36" s="47"/>
      <c r="H36" s="47"/>
      <c r="I36" s="47"/>
      <c r="J36" s="103"/>
      <c r="K36" s="61"/>
      <c r="M36" s="61"/>
    </row>
    <row r="37" spans="1:13" ht="13.8">
      <c r="A37" s="15" t="s">
        <v>39</v>
      </c>
      <c r="B37" s="47">
        <v>56.599999999999994</v>
      </c>
      <c r="C37" s="47">
        <v>92</v>
      </c>
      <c r="D37" s="47">
        <v>64.75</v>
      </c>
      <c r="E37" s="47">
        <v>65.1875</v>
      </c>
      <c r="F37" s="47">
        <v>83.25</v>
      </c>
      <c r="G37" s="47" t="s">
        <v>76</v>
      </c>
      <c r="H37" s="92">
        <v>90</v>
      </c>
      <c r="I37" s="47">
        <v>65.17</v>
      </c>
      <c r="J37" s="119"/>
      <c r="K37" s="61"/>
      <c r="M37" s="61"/>
    </row>
    <row r="38" spans="1:13" ht="13.8">
      <c r="A38" s="15" t="s">
        <v>40</v>
      </c>
      <c r="B38" s="47">
        <v>53.39</v>
      </c>
      <c r="C38" s="47">
        <v>86.38</v>
      </c>
      <c r="D38" s="47">
        <v>62.25</v>
      </c>
      <c r="E38" s="47">
        <v>61.63</v>
      </c>
      <c r="F38" s="47">
        <v>81.5</v>
      </c>
      <c r="G38" s="47" t="s">
        <v>76</v>
      </c>
      <c r="H38" s="92" t="s">
        <v>76</v>
      </c>
      <c r="I38" s="47">
        <v>57.024999999999999</v>
      </c>
      <c r="J38" s="119"/>
      <c r="K38" s="61"/>
      <c r="M38" s="61"/>
    </row>
    <row r="39" spans="1:13" ht="13.8">
      <c r="A39" s="15" t="s">
        <v>42</v>
      </c>
      <c r="B39" s="47">
        <v>52.33</v>
      </c>
      <c r="C39" s="47">
        <v>83.1</v>
      </c>
      <c r="D39" s="47">
        <v>58.6</v>
      </c>
      <c r="E39" s="47">
        <v>59.45</v>
      </c>
      <c r="F39" s="47">
        <v>77.8</v>
      </c>
      <c r="G39" s="47" t="s">
        <v>76</v>
      </c>
      <c r="H39" s="92">
        <v>65</v>
      </c>
      <c r="I39" s="47">
        <v>50.67</v>
      </c>
      <c r="J39" s="119"/>
      <c r="K39" s="61"/>
      <c r="M39" s="61"/>
    </row>
    <row r="40" spans="1:13" ht="13.8">
      <c r="A40" s="15" t="s">
        <v>43</v>
      </c>
      <c r="B40" s="47">
        <v>49.1</v>
      </c>
      <c r="C40" s="47">
        <v>79.5</v>
      </c>
      <c r="D40" s="47">
        <v>58.13</v>
      </c>
      <c r="E40" s="47">
        <v>57.25</v>
      </c>
      <c r="F40" s="47">
        <v>76.5</v>
      </c>
      <c r="G40" s="47" t="s">
        <v>76</v>
      </c>
      <c r="H40" s="92" t="s">
        <v>76</v>
      </c>
      <c r="I40" s="47" t="s">
        <v>76</v>
      </c>
      <c r="J40" s="119"/>
      <c r="K40" s="61"/>
      <c r="M40" s="61"/>
    </row>
    <row r="41" spans="1:13" ht="13.8">
      <c r="A41" s="15" t="s">
        <v>44</v>
      </c>
      <c r="B41" s="47">
        <v>47.327500000000001</v>
      </c>
      <c r="C41" s="47">
        <v>76.5</v>
      </c>
      <c r="D41" s="47">
        <v>57.38</v>
      </c>
      <c r="E41" s="47">
        <v>53.06</v>
      </c>
      <c r="F41" s="47">
        <v>76.75</v>
      </c>
      <c r="G41" s="47" t="s">
        <v>76</v>
      </c>
      <c r="H41" s="92">
        <v>45.33</v>
      </c>
      <c r="I41" s="47">
        <v>52.5</v>
      </c>
      <c r="J41" s="119"/>
      <c r="K41" s="61"/>
      <c r="M41" s="61"/>
    </row>
    <row r="42" spans="1:13" ht="13.8">
      <c r="A42" s="15" t="s">
        <v>46</v>
      </c>
      <c r="B42" s="47">
        <v>46.957999999999998</v>
      </c>
      <c r="C42" s="47">
        <v>79.95</v>
      </c>
      <c r="D42" s="47">
        <v>57.45</v>
      </c>
      <c r="E42" s="47">
        <v>55.55</v>
      </c>
      <c r="F42" s="47">
        <v>76</v>
      </c>
      <c r="G42" s="47" t="s">
        <v>76</v>
      </c>
      <c r="H42" s="92" t="s">
        <v>76</v>
      </c>
      <c r="I42" s="47">
        <v>52</v>
      </c>
      <c r="J42" s="119"/>
      <c r="K42" s="61"/>
      <c r="M42" s="61"/>
    </row>
    <row r="43" spans="1:13" ht="13.8">
      <c r="A43" s="15" t="s">
        <v>47</v>
      </c>
      <c r="B43" s="47">
        <v>45.1325</v>
      </c>
      <c r="C43" s="47">
        <v>77.25</v>
      </c>
      <c r="D43" s="47">
        <v>56.06</v>
      </c>
      <c r="E43" s="47">
        <v>54.38</v>
      </c>
      <c r="F43" s="47">
        <v>75.13</v>
      </c>
      <c r="G43" s="47" t="s">
        <v>76</v>
      </c>
      <c r="H43" s="92">
        <v>41</v>
      </c>
      <c r="I43" s="47">
        <v>52.17</v>
      </c>
      <c r="J43" s="119"/>
      <c r="K43" s="61"/>
      <c r="M43" s="61"/>
    </row>
    <row r="44" spans="1:13" ht="13.8">
      <c r="A44" s="15" t="s">
        <v>48</v>
      </c>
      <c r="B44" s="47">
        <v>43.302</v>
      </c>
      <c r="C44" s="47">
        <v>74.55</v>
      </c>
      <c r="D44" s="47">
        <v>54.6</v>
      </c>
      <c r="E44" s="47">
        <v>52.75</v>
      </c>
      <c r="F44" s="47">
        <v>73.8</v>
      </c>
      <c r="G44" s="47" t="s">
        <v>76</v>
      </c>
      <c r="H44" s="92">
        <v>42</v>
      </c>
      <c r="I44" s="47">
        <v>48.875</v>
      </c>
      <c r="J44" s="119"/>
      <c r="K44" s="61"/>
      <c r="M44" s="61"/>
    </row>
    <row r="45" spans="1:13" ht="13.8">
      <c r="A45" s="15" t="s">
        <v>50</v>
      </c>
      <c r="B45" s="47">
        <v>42.5075</v>
      </c>
      <c r="C45" s="47">
        <v>74.38</v>
      </c>
      <c r="D45" s="47">
        <v>58.88</v>
      </c>
      <c r="E45" s="47">
        <v>51.31</v>
      </c>
      <c r="F45" s="47">
        <v>77.5</v>
      </c>
      <c r="G45" s="47" t="s">
        <v>76</v>
      </c>
      <c r="H45" s="92">
        <v>46</v>
      </c>
      <c r="I45" s="47">
        <v>54.1</v>
      </c>
      <c r="J45" s="119"/>
      <c r="K45" s="61"/>
      <c r="M45" s="61"/>
    </row>
    <row r="46" spans="1:13" s="83" customFormat="1" ht="13.8">
      <c r="A46" s="15" t="s">
        <v>51</v>
      </c>
      <c r="B46" s="47">
        <v>45.57</v>
      </c>
      <c r="C46" s="47">
        <v>77.94</v>
      </c>
      <c r="D46" s="47">
        <v>59.69</v>
      </c>
      <c r="E46" s="47">
        <v>54.75</v>
      </c>
      <c r="F46" s="47">
        <v>79</v>
      </c>
      <c r="G46" s="47" t="s">
        <v>76</v>
      </c>
      <c r="H46" s="92">
        <v>55</v>
      </c>
      <c r="I46" s="92">
        <v>54.5</v>
      </c>
      <c r="J46" s="119"/>
      <c r="K46" s="150"/>
      <c r="M46" s="150"/>
    </row>
    <row r="47" spans="1:13" s="83" customFormat="1" ht="13.8">
      <c r="A47" s="15" t="s">
        <v>52</v>
      </c>
      <c r="B47" s="47">
        <v>42.508000000000003</v>
      </c>
      <c r="C47" s="47">
        <v>72.95</v>
      </c>
      <c r="D47" s="47">
        <v>58.1</v>
      </c>
      <c r="E47" s="47">
        <v>51.05</v>
      </c>
      <c r="F47" s="47">
        <v>78.8</v>
      </c>
      <c r="G47" s="47" t="s">
        <v>76</v>
      </c>
      <c r="H47" s="92">
        <v>56</v>
      </c>
      <c r="I47" s="92">
        <v>52.67</v>
      </c>
      <c r="J47" s="119"/>
      <c r="K47" s="150"/>
      <c r="M47" s="150"/>
    </row>
    <row r="48" spans="1:13" ht="16.2">
      <c r="A48" s="79" t="s">
        <v>138</v>
      </c>
      <c r="B48" s="111"/>
      <c r="C48" s="111"/>
      <c r="D48" s="111"/>
      <c r="E48" s="111"/>
      <c r="F48" s="111"/>
      <c r="G48" s="111"/>
      <c r="H48" s="111"/>
      <c r="I48" s="112"/>
    </row>
    <row r="49" spans="1:9" ht="16.2">
      <c r="A49" s="15" t="s">
        <v>139</v>
      </c>
      <c r="B49" s="59"/>
      <c r="C49" s="59"/>
      <c r="D49" s="59"/>
      <c r="E49" s="59"/>
      <c r="F49" s="59"/>
      <c r="G49" s="59"/>
      <c r="H49" s="59"/>
      <c r="I49" s="59"/>
    </row>
    <row r="50" spans="1:9" ht="14.4">
      <c r="A50" s="15" t="s">
        <v>140</v>
      </c>
      <c r="B50" s="15"/>
      <c r="C50" s="15"/>
      <c r="D50" s="15"/>
      <c r="E50" s="15"/>
      <c r="F50" s="59"/>
      <c r="G50" s="15"/>
      <c r="H50" s="15"/>
      <c r="I50" s="15"/>
    </row>
    <row r="51" spans="1:9" ht="13.8">
      <c r="A51" s="20" t="s">
        <v>57</v>
      </c>
      <c r="B51" s="36">
        <f>Contents!A17</f>
        <v>45551</v>
      </c>
      <c r="C51" s="15"/>
      <c r="D51" s="15"/>
      <c r="E51" s="15"/>
      <c r="F51" s="15"/>
      <c r="G51" s="15"/>
      <c r="H51" s="15"/>
      <c r="I51" s="15"/>
    </row>
    <row r="52" spans="1:9" ht="15.6">
      <c r="C52" s="60"/>
      <c r="G52" s="60"/>
      <c r="H52" s="60"/>
      <c r="I52" s="60"/>
    </row>
    <row r="53" spans="1:9" ht="15.6">
      <c r="B53" s="61"/>
      <c r="C53" s="61"/>
      <c r="D53" s="61"/>
      <c r="E53" s="61"/>
      <c r="F53" s="61"/>
      <c r="G53" s="61"/>
      <c r="H53" s="60"/>
      <c r="I53" s="60"/>
    </row>
    <row r="54" spans="1:9" ht="15.6">
      <c r="B54" s="85"/>
      <c r="C54" s="85"/>
      <c r="D54" s="85"/>
      <c r="E54" s="85"/>
      <c r="F54" s="85"/>
      <c r="G54" s="85"/>
      <c r="H54" s="60"/>
      <c r="I54" s="60"/>
    </row>
    <row r="55" spans="1:9" ht="15.6">
      <c r="C55" s="60"/>
      <c r="G55" s="60"/>
      <c r="H55" s="60"/>
      <c r="I55" s="60"/>
    </row>
    <row r="56" spans="1:9" ht="15.6">
      <c r="C56" s="60"/>
      <c r="G56" s="60"/>
      <c r="H56" s="60"/>
      <c r="I56" s="60"/>
    </row>
    <row r="57" spans="1:9" ht="15.6">
      <c r="C57" s="60"/>
      <c r="G57" s="60"/>
      <c r="H57" s="60"/>
      <c r="I57" s="60"/>
    </row>
    <row r="58" spans="1:9" ht="15.6">
      <c r="C58" s="60"/>
      <c r="G58" s="60"/>
      <c r="H58" s="60"/>
      <c r="I58" s="60"/>
    </row>
    <row r="59" spans="1:9" ht="15.6">
      <c r="C59" s="60"/>
      <c r="G59" s="60"/>
      <c r="H59" s="60"/>
      <c r="I59" s="60"/>
    </row>
    <row r="60" spans="1:9" ht="15.6">
      <c r="C60" s="60"/>
      <c r="G60" s="60"/>
      <c r="H60" s="60"/>
      <c r="I60" s="60"/>
    </row>
    <row r="61" spans="1:9" ht="15.6">
      <c r="C61" s="60"/>
      <c r="G61" s="60"/>
      <c r="H61" s="60"/>
      <c r="I61" s="60"/>
    </row>
    <row r="62" spans="1:9" ht="15.6">
      <c r="C62" s="60"/>
      <c r="G62" s="60"/>
      <c r="H62" s="60"/>
      <c r="I62" s="60"/>
    </row>
    <row r="63" spans="1:9" ht="15.6">
      <c r="C63" s="60"/>
      <c r="G63" s="60"/>
      <c r="H63" s="60"/>
      <c r="I63" s="60"/>
    </row>
    <row r="64" spans="1:9" ht="15.6">
      <c r="C64" s="60"/>
      <c r="G64" s="60"/>
      <c r="H64" s="60"/>
      <c r="I64" s="60"/>
    </row>
    <row r="65" spans="3:9" ht="15.6">
      <c r="C65" s="60"/>
      <c r="G65" s="60"/>
      <c r="H65" s="60"/>
      <c r="I65" s="60"/>
    </row>
    <row r="66" spans="3:9" ht="15.6">
      <c r="C66" s="60"/>
      <c r="G66" s="60"/>
      <c r="H66" s="60"/>
      <c r="I66" s="60"/>
    </row>
    <row r="67" spans="3:9" ht="15.6">
      <c r="C67" s="60"/>
      <c r="G67" s="60"/>
      <c r="H67" s="60"/>
      <c r="I67" s="60"/>
    </row>
    <row r="68" spans="3:9" ht="15.6">
      <c r="C68" s="60"/>
      <c r="H68" s="60"/>
      <c r="I68" s="60"/>
    </row>
    <row r="69" spans="3:9" ht="15.6">
      <c r="C69" s="60"/>
      <c r="H69" s="60"/>
      <c r="I69" s="60"/>
    </row>
    <row r="70" spans="3:9" ht="15.6">
      <c r="C70" s="60"/>
      <c r="F70" s="61"/>
      <c r="H70" s="60"/>
      <c r="I70" s="60"/>
    </row>
    <row r="71" spans="3:9" ht="15.6">
      <c r="F71" s="61"/>
      <c r="H71" s="60"/>
      <c r="I71" s="60"/>
    </row>
  </sheetData>
  <phoneticPr fontId="4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1"/>
  <sheetViews>
    <sheetView showGridLines="0" zoomScale="70" zoomScaleNormal="70" workbookViewId="0">
      <pane xSplit="1" ySplit="4" topLeftCell="B5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ColWidth="9.2187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777343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122</v>
      </c>
      <c r="C2" s="62" t="s">
        <v>123</v>
      </c>
      <c r="D2" s="62" t="s">
        <v>124</v>
      </c>
      <c r="E2" s="62" t="s">
        <v>126</v>
      </c>
      <c r="F2" s="17" t="s">
        <v>141</v>
      </c>
      <c r="G2" s="17" t="s">
        <v>142</v>
      </c>
      <c r="AB2" s="63"/>
    </row>
    <row r="3" spans="1:28" ht="15.6" customHeight="1">
      <c r="A3" s="14" t="s">
        <v>103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  <c r="G3" s="23" t="s">
        <v>148</v>
      </c>
      <c r="AB3" s="63"/>
    </row>
    <row r="4" spans="1:28" ht="14.4">
      <c r="A4" s="56" t="s">
        <v>149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108</v>
      </c>
      <c r="B6" s="58">
        <v>345.52</v>
      </c>
      <c r="C6" s="58">
        <v>273.83999999999997</v>
      </c>
      <c r="D6" s="58">
        <v>219.72</v>
      </c>
      <c r="E6" s="50" t="s">
        <v>76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109</v>
      </c>
      <c r="B7" s="58">
        <v>393.53</v>
      </c>
      <c r="C7" s="58">
        <v>275.13</v>
      </c>
      <c r="D7" s="58">
        <v>246.75</v>
      </c>
      <c r="E7" s="50" t="s">
        <v>76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110</v>
      </c>
      <c r="B8" s="58">
        <v>468.11</v>
      </c>
      <c r="C8" s="58">
        <v>331.52</v>
      </c>
      <c r="D8" s="58">
        <v>241.57</v>
      </c>
      <c r="E8" s="50" t="s">
        <v>76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111</v>
      </c>
      <c r="B9" s="58">
        <v>489.94</v>
      </c>
      <c r="C9" s="58">
        <v>377.71</v>
      </c>
      <c r="D9" s="58">
        <v>238.87</v>
      </c>
      <c r="E9" s="50" t="s">
        <v>76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112</v>
      </c>
      <c r="B10" s="58">
        <v>368.49</v>
      </c>
      <c r="C10" s="58">
        <v>304.27</v>
      </c>
      <c r="D10" s="58">
        <v>209.97</v>
      </c>
      <c r="E10" s="50" t="s">
        <v>76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113</v>
      </c>
      <c r="B11" s="58">
        <v>324.56</v>
      </c>
      <c r="C11" s="58">
        <v>261.19</v>
      </c>
      <c r="D11" s="58">
        <v>153.16999999999999</v>
      </c>
      <c r="E11" s="50" t="s">
        <v>76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114</v>
      </c>
      <c r="B12" s="58">
        <v>316.88</v>
      </c>
      <c r="C12" s="58">
        <v>208.61</v>
      </c>
      <c r="D12" s="58">
        <v>145.1</v>
      </c>
      <c r="E12" s="50" t="s">
        <v>76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115</v>
      </c>
      <c r="B13" s="58">
        <v>345.02</v>
      </c>
      <c r="C13" s="58">
        <v>260.88</v>
      </c>
      <c r="D13" s="58">
        <v>173.53</v>
      </c>
      <c r="E13" s="50" t="s">
        <v>76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116</v>
      </c>
      <c r="B14" s="58">
        <v>308.27999999999997</v>
      </c>
      <c r="C14" s="58">
        <v>228.64</v>
      </c>
      <c r="D14" s="58">
        <v>164.16</v>
      </c>
      <c r="E14" s="50" t="s">
        <v>76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117</v>
      </c>
      <c r="B15" s="58">
        <v>299.5</v>
      </c>
      <c r="C15" s="58">
        <v>247.04</v>
      </c>
      <c r="D15" s="58">
        <v>187.7</v>
      </c>
      <c r="E15" s="50" t="s">
        <v>76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118</v>
      </c>
      <c r="B16" s="58">
        <v>392.31</v>
      </c>
      <c r="C16" s="58">
        <v>375.51</v>
      </c>
      <c r="D16" s="89">
        <v>246.22</v>
      </c>
      <c r="E16" s="50" t="s">
        <v>76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34</v>
      </c>
      <c r="B17" s="58">
        <v>439.81</v>
      </c>
      <c r="C17" s="58">
        <v>355.33</v>
      </c>
      <c r="D17" s="58">
        <v>279.98</v>
      </c>
      <c r="E17" s="50" t="s">
        <v>76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37</v>
      </c>
      <c r="B18" s="58">
        <v>451.91</v>
      </c>
      <c r="C18" s="58">
        <v>379.13</v>
      </c>
      <c r="D18" s="58">
        <v>244.34</v>
      </c>
      <c r="E18" s="50" t="s">
        <v>76</v>
      </c>
      <c r="F18" s="58">
        <v>431.34</v>
      </c>
      <c r="G18" s="89">
        <v>359.06</v>
      </c>
      <c r="H18" s="61"/>
      <c r="I18" s="61"/>
      <c r="J18" s="61"/>
    </row>
    <row r="19" spans="1:13" ht="16.2">
      <c r="A19" s="15" t="s">
        <v>137</v>
      </c>
      <c r="B19" s="58">
        <v>385</v>
      </c>
      <c r="C19" s="58">
        <v>340</v>
      </c>
      <c r="D19" s="58">
        <v>195</v>
      </c>
      <c r="E19" s="50" t="s">
        <v>76</v>
      </c>
      <c r="F19" s="58">
        <v>380</v>
      </c>
      <c r="G19" s="89">
        <v>328.55</v>
      </c>
      <c r="H19" s="61"/>
      <c r="I19" s="61"/>
      <c r="J19" s="61"/>
    </row>
    <row r="20" spans="1:13" ht="16.2">
      <c r="A20" s="15" t="s">
        <v>157</v>
      </c>
      <c r="B20" s="58">
        <v>320</v>
      </c>
      <c r="C20" s="58">
        <v>300</v>
      </c>
      <c r="D20" s="58">
        <v>170</v>
      </c>
      <c r="E20" s="50" t="s">
        <v>76</v>
      </c>
      <c r="F20" s="58">
        <v>280</v>
      </c>
      <c r="G20" s="89">
        <v>220</v>
      </c>
      <c r="H20" s="61"/>
      <c r="I20" s="61"/>
      <c r="J20" s="61"/>
    </row>
    <row r="21" spans="1:13" ht="13.8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3.8">
      <c r="A22" s="30" t="s">
        <v>37</v>
      </c>
      <c r="B22" s="89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9">
        <v>468.67499999999995</v>
      </c>
      <c r="C23" s="58">
        <v>451.875</v>
      </c>
      <c r="D23" s="58" t="s">
        <v>76</v>
      </c>
      <c r="E23" s="50" t="s">
        <v>76</v>
      </c>
      <c r="F23" s="58">
        <v>409.17499999999995</v>
      </c>
      <c r="G23" s="58" t="s">
        <v>76</v>
      </c>
      <c r="H23" s="47"/>
      <c r="I23" s="61"/>
    </row>
    <row r="24" spans="1:13" ht="13.8">
      <c r="A24" s="15" t="s">
        <v>40</v>
      </c>
      <c r="B24" s="89">
        <v>436.74999999999994</v>
      </c>
      <c r="C24" s="58">
        <v>405</v>
      </c>
      <c r="D24" s="58" t="s">
        <v>76</v>
      </c>
      <c r="E24" s="50" t="s">
        <v>76</v>
      </c>
      <c r="F24" s="58">
        <v>402.99999999999994</v>
      </c>
      <c r="G24" s="58">
        <v>357.5</v>
      </c>
      <c r="H24" s="47"/>
      <c r="I24" s="61"/>
    </row>
    <row r="25" spans="1:13" ht="13.8">
      <c r="A25" s="15" t="s">
        <v>42</v>
      </c>
      <c r="B25" s="89">
        <v>462.85</v>
      </c>
      <c r="C25" s="58">
        <v>390.625</v>
      </c>
      <c r="D25" s="58">
        <v>200</v>
      </c>
      <c r="E25" s="50" t="s">
        <v>76</v>
      </c>
      <c r="F25" s="58">
        <v>437.09999999999997</v>
      </c>
      <c r="G25" s="58">
        <v>368.5</v>
      </c>
      <c r="H25" s="47"/>
      <c r="I25" s="61"/>
    </row>
    <row r="26" spans="1:13" ht="13.8">
      <c r="A26" s="15" t="s">
        <v>43</v>
      </c>
      <c r="B26" s="89">
        <v>482.40000000000003</v>
      </c>
      <c r="C26" s="58">
        <v>386.25</v>
      </c>
      <c r="D26" s="58">
        <v>355</v>
      </c>
      <c r="E26" s="50" t="s">
        <v>76</v>
      </c>
      <c r="F26" s="58">
        <v>474.02500000000003</v>
      </c>
      <c r="G26" s="58">
        <v>397.5</v>
      </c>
      <c r="H26" s="47"/>
      <c r="I26" s="61"/>
    </row>
    <row r="27" spans="1:13" ht="13.8">
      <c r="A27" s="15" t="s">
        <v>44</v>
      </c>
      <c r="B27" s="89">
        <v>500.52499999999998</v>
      </c>
      <c r="C27" s="58">
        <v>392.5</v>
      </c>
      <c r="D27" s="58">
        <v>336.25</v>
      </c>
      <c r="E27" s="50" t="s">
        <v>76</v>
      </c>
      <c r="F27" s="58">
        <v>501.02499999999998</v>
      </c>
      <c r="G27" s="58">
        <v>412.5</v>
      </c>
      <c r="H27" s="47"/>
      <c r="I27" s="61"/>
    </row>
    <row r="28" spans="1:13" ht="13.8">
      <c r="A28" s="15" t="s">
        <v>46</v>
      </c>
      <c r="B28" s="89">
        <v>484.4</v>
      </c>
      <c r="C28" s="58">
        <v>386.25</v>
      </c>
      <c r="D28" s="58">
        <v>308</v>
      </c>
      <c r="E28" s="50" t="s">
        <v>76</v>
      </c>
      <c r="F28" s="58">
        <v>466.6</v>
      </c>
      <c r="G28" s="58">
        <v>380.4</v>
      </c>
      <c r="H28" s="47"/>
      <c r="I28" s="61"/>
    </row>
    <row r="29" spans="1:13" ht="13.8">
      <c r="A29" s="15" t="s">
        <v>47</v>
      </c>
      <c r="B29" s="89">
        <v>457.25</v>
      </c>
      <c r="C29" s="58">
        <v>364.375</v>
      </c>
      <c r="D29" s="58">
        <v>252.5</v>
      </c>
      <c r="E29" s="50" t="s">
        <v>76</v>
      </c>
      <c r="F29" s="58">
        <v>434.75</v>
      </c>
      <c r="G29" s="58">
        <v>352.5</v>
      </c>
      <c r="H29" s="47"/>
      <c r="I29" s="61"/>
    </row>
    <row r="30" spans="1:13" ht="13.8">
      <c r="A30" s="15" t="s">
        <v>48</v>
      </c>
      <c r="B30" s="89">
        <v>423.57499999999999</v>
      </c>
      <c r="C30" s="58">
        <v>370.625</v>
      </c>
      <c r="D30" s="58">
        <v>237.5</v>
      </c>
      <c r="E30" s="50" t="s">
        <v>76</v>
      </c>
      <c r="F30" s="58">
        <v>407.02500000000003</v>
      </c>
      <c r="G30" s="58">
        <v>352.5</v>
      </c>
      <c r="H30" s="47"/>
      <c r="I30" s="61"/>
    </row>
    <row r="31" spans="1:13" ht="13.8">
      <c r="A31" s="15" t="s">
        <v>50</v>
      </c>
      <c r="B31" s="89">
        <v>413.46000000000004</v>
      </c>
      <c r="C31" s="58">
        <v>362.5</v>
      </c>
      <c r="D31" s="58">
        <v>208.00200000000001</v>
      </c>
      <c r="E31" s="50" t="s">
        <v>76</v>
      </c>
      <c r="F31" s="58">
        <v>405.06000000000006</v>
      </c>
      <c r="G31" s="58">
        <v>354</v>
      </c>
      <c r="H31" s="47"/>
      <c r="I31" s="61"/>
    </row>
    <row r="32" spans="1:13" ht="13.8">
      <c r="A32" s="15" t="s">
        <v>51</v>
      </c>
      <c r="B32" s="89">
        <v>443.15</v>
      </c>
      <c r="C32" s="58">
        <v>347.5</v>
      </c>
      <c r="D32" s="58">
        <v>159.16749999999999</v>
      </c>
      <c r="E32" s="50" t="s">
        <v>76</v>
      </c>
      <c r="F32" s="58">
        <v>432.1</v>
      </c>
      <c r="G32" s="58">
        <v>335</v>
      </c>
      <c r="H32" s="47"/>
      <c r="I32" s="61"/>
    </row>
    <row r="33" spans="1:9" ht="13.8">
      <c r="A33" s="15" t="s">
        <v>52</v>
      </c>
      <c r="B33" s="89">
        <v>438.8</v>
      </c>
      <c r="C33" s="58">
        <v>348.33</v>
      </c>
      <c r="D33" s="58">
        <v>185</v>
      </c>
      <c r="E33" s="50" t="s">
        <v>76</v>
      </c>
      <c r="F33" s="58">
        <v>412.9</v>
      </c>
      <c r="G33" s="58">
        <v>321.25</v>
      </c>
      <c r="H33" s="47"/>
      <c r="I33" s="61"/>
    </row>
    <row r="34" spans="1:9" ht="13.8">
      <c r="A34" s="15" t="s">
        <v>38</v>
      </c>
      <c r="B34" s="89">
        <v>411.07</v>
      </c>
      <c r="C34" s="58">
        <v>343.75</v>
      </c>
      <c r="D34" s="58">
        <v>202</v>
      </c>
      <c r="E34" s="50" t="s">
        <v>76</v>
      </c>
      <c r="F34" s="58">
        <v>393.26</v>
      </c>
      <c r="G34" s="58">
        <v>318</v>
      </c>
      <c r="H34" s="47"/>
      <c r="I34" s="61"/>
    </row>
    <row r="35" spans="1:9" ht="13.8">
      <c r="A35" s="15"/>
      <c r="B35" s="89"/>
      <c r="C35" s="58"/>
      <c r="D35" s="58"/>
      <c r="E35" s="50"/>
      <c r="F35" s="58"/>
      <c r="G35" s="58"/>
      <c r="H35" s="47"/>
      <c r="I35" s="61"/>
    </row>
    <row r="36" spans="1:9" ht="13.8">
      <c r="A36" s="30" t="s">
        <v>54</v>
      </c>
      <c r="B36" s="89"/>
      <c r="C36" s="58"/>
      <c r="D36" s="58"/>
      <c r="E36" s="50"/>
      <c r="F36" s="58"/>
      <c r="G36" s="58"/>
      <c r="H36" s="47"/>
      <c r="I36" s="61"/>
    </row>
    <row r="37" spans="1:9" ht="13.8">
      <c r="A37" s="15" t="s">
        <v>39</v>
      </c>
      <c r="B37" s="89">
        <v>416.16</v>
      </c>
      <c r="C37" s="58">
        <v>348.75</v>
      </c>
      <c r="D37" s="58">
        <v>229.16500000000002</v>
      </c>
      <c r="E37" s="50" t="s">
        <v>76</v>
      </c>
      <c r="F37" s="58">
        <v>407.1</v>
      </c>
      <c r="G37" s="58">
        <v>325</v>
      </c>
      <c r="H37" s="47"/>
      <c r="I37" s="61"/>
    </row>
    <row r="38" spans="1:9" ht="13.8">
      <c r="A38" s="15" t="s">
        <v>40</v>
      </c>
      <c r="B38" s="89">
        <v>464.27</v>
      </c>
      <c r="C38" s="58">
        <v>350</v>
      </c>
      <c r="D38" s="58">
        <v>266.67</v>
      </c>
      <c r="E38" s="50" t="s">
        <v>76</v>
      </c>
      <c r="F38" s="58">
        <v>441.77</v>
      </c>
      <c r="G38" s="89">
        <v>348.33</v>
      </c>
      <c r="H38" s="47"/>
      <c r="I38" s="61"/>
    </row>
    <row r="39" spans="1:9" ht="13.8">
      <c r="A39" s="15" t="s">
        <v>42</v>
      </c>
      <c r="B39" s="89">
        <v>440.6</v>
      </c>
      <c r="C39" s="58">
        <v>358.75</v>
      </c>
      <c r="D39" s="58">
        <v>270</v>
      </c>
      <c r="E39" s="50" t="s">
        <v>76</v>
      </c>
      <c r="F39" s="58">
        <v>395.04999999999995</v>
      </c>
      <c r="G39" s="89">
        <v>365</v>
      </c>
      <c r="H39" s="47"/>
      <c r="I39" s="61"/>
    </row>
    <row r="40" spans="1:9" ht="13.8">
      <c r="A40" s="15" t="s">
        <v>43</v>
      </c>
      <c r="B40" s="89">
        <v>378.4</v>
      </c>
      <c r="C40" s="58">
        <v>352.5</v>
      </c>
      <c r="D40" s="58">
        <v>270</v>
      </c>
      <c r="E40" s="50" t="s">
        <v>76</v>
      </c>
      <c r="F40" s="58">
        <v>349.3</v>
      </c>
      <c r="G40" s="89">
        <v>365</v>
      </c>
      <c r="H40" s="47"/>
      <c r="I40" s="61"/>
    </row>
    <row r="41" spans="1:9" ht="13.8">
      <c r="A41" s="15" t="s">
        <v>44</v>
      </c>
      <c r="B41" s="89">
        <v>363.625</v>
      </c>
      <c r="C41" s="58">
        <v>355</v>
      </c>
      <c r="D41" s="58">
        <v>210</v>
      </c>
      <c r="E41" s="50" t="s">
        <v>76</v>
      </c>
      <c r="F41" s="58">
        <v>357.75</v>
      </c>
      <c r="G41" s="89" t="s">
        <v>76</v>
      </c>
      <c r="H41" s="47"/>
      <c r="I41" s="61"/>
    </row>
    <row r="42" spans="1:9" ht="13.8">
      <c r="A42" s="15" t="s">
        <v>46</v>
      </c>
      <c r="B42" s="89">
        <v>361.75</v>
      </c>
      <c r="C42" s="58">
        <v>343.33</v>
      </c>
      <c r="D42" s="58">
        <v>140</v>
      </c>
      <c r="E42" s="50" t="s">
        <v>76</v>
      </c>
      <c r="F42" s="58">
        <v>348.76</v>
      </c>
      <c r="G42" s="89">
        <v>331</v>
      </c>
      <c r="H42" s="47"/>
      <c r="I42" s="61"/>
    </row>
    <row r="43" spans="1:9" ht="13.8">
      <c r="A43" s="15" t="s">
        <v>47</v>
      </c>
      <c r="B43" s="89">
        <v>357.67500000000001</v>
      </c>
      <c r="C43" s="58">
        <v>333.75</v>
      </c>
      <c r="D43" s="58">
        <v>142.5</v>
      </c>
      <c r="E43" s="50" t="s">
        <v>76</v>
      </c>
      <c r="F43" s="58">
        <v>357.17500000000001</v>
      </c>
      <c r="G43" s="89">
        <v>292.5</v>
      </c>
      <c r="H43" s="47"/>
      <c r="I43" s="61"/>
    </row>
    <row r="44" spans="1:9" ht="13.8">
      <c r="A44" s="15" t="s">
        <v>48</v>
      </c>
      <c r="B44" s="89">
        <v>388.65</v>
      </c>
      <c r="C44" s="58">
        <v>330</v>
      </c>
      <c r="D44" s="58">
        <v>170</v>
      </c>
      <c r="E44" s="50" t="s">
        <v>76</v>
      </c>
      <c r="F44" s="58">
        <v>411.82</v>
      </c>
      <c r="G44" s="89">
        <v>259</v>
      </c>
      <c r="H44" s="47"/>
      <c r="I44" s="61"/>
    </row>
    <row r="45" spans="1:9" ht="13.8">
      <c r="A45" s="15" t="s">
        <v>50</v>
      </c>
      <c r="B45" s="89">
        <v>384.1</v>
      </c>
      <c r="C45" s="58" t="s">
        <v>76</v>
      </c>
      <c r="D45" s="58">
        <v>166.25</v>
      </c>
      <c r="E45" s="50" t="s">
        <v>76</v>
      </c>
      <c r="F45" s="58">
        <v>416.6</v>
      </c>
      <c r="G45" s="89">
        <v>253.54249999999999</v>
      </c>
      <c r="H45" s="47"/>
      <c r="I45" s="61"/>
    </row>
    <row r="46" spans="1:9" ht="13.8">
      <c r="A46" s="15" t="s">
        <v>51</v>
      </c>
      <c r="B46" s="89">
        <v>364.3</v>
      </c>
      <c r="C46" s="58">
        <v>335</v>
      </c>
      <c r="D46" s="58">
        <v>155</v>
      </c>
      <c r="E46" s="50" t="s">
        <v>76</v>
      </c>
      <c r="F46" s="58">
        <v>387.87</v>
      </c>
      <c r="G46" s="89">
        <v>250.833</v>
      </c>
      <c r="H46" s="47"/>
      <c r="I46" s="61"/>
    </row>
    <row r="47" spans="1:9" ht="13.8">
      <c r="A47" s="15" t="s">
        <v>52</v>
      </c>
      <c r="B47" s="89">
        <v>343.4</v>
      </c>
      <c r="C47" s="58" t="s">
        <v>76</v>
      </c>
      <c r="D47" s="58">
        <v>154.5</v>
      </c>
      <c r="E47" s="50" t="s">
        <v>76</v>
      </c>
      <c r="F47" s="58">
        <v>341.42500000000001</v>
      </c>
      <c r="G47" s="89">
        <v>244.5</v>
      </c>
      <c r="H47" s="47"/>
      <c r="I47" s="61"/>
    </row>
    <row r="48" spans="1:9" ht="16.2">
      <c r="A48" s="79" t="s">
        <v>150</v>
      </c>
      <c r="B48" s="113"/>
      <c r="C48" s="113"/>
      <c r="D48" s="113"/>
      <c r="E48" s="113"/>
      <c r="F48" s="113"/>
      <c r="G48" s="113"/>
      <c r="I48" s="64"/>
    </row>
    <row r="49" spans="1:10" ht="16.2">
      <c r="A49" s="40" t="s">
        <v>151</v>
      </c>
      <c r="B49" s="66"/>
      <c r="C49" s="66"/>
      <c r="D49" s="66"/>
      <c r="E49" s="66"/>
      <c r="F49" s="66"/>
      <c r="G49" s="66"/>
      <c r="I49" s="64"/>
      <c r="J49" s="64"/>
    </row>
    <row r="50" spans="1:10" ht="14.4">
      <c r="A50" s="15" t="s">
        <v>152</v>
      </c>
      <c r="B50" s="15"/>
      <c r="C50" s="15"/>
      <c r="D50" s="15"/>
      <c r="E50" s="15"/>
      <c r="F50" s="66"/>
      <c r="G50" s="66"/>
      <c r="I50" s="64"/>
      <c r="J50" s="64"/>
    </row>
    <row r="51" spans="1:10" ht="13.8">
      <c r="A51" s="20" t="s">
        <v>57</v>
      </c>
      <c r="B51" s="36">
        <f>Contents!A17</f>
        <v>45551</v>
      </c>
      <c r="C51" s="15"/>
      <c r="D51" s="15"/>
      <c r="E51" s="15"/>
      <c r="F51" s="66"/>
      <c r="G51" s="66"/>
      <c r="I51" s="67"/>
      <c r="J51" s="67"/>
    </row>
    <row r="52" spans="1:10" ht="13.8">
      <c r="F52" s="66"/>
      <c r="G52" s="66"/>
      <c r="I52" s="67"/>
      <c r="J52" s="67"/>
    </row>
    <row r="53" spans="1:10" ht="13.8">
      <c r="B53" s="93"/>
      <c r="F53" s="66"/>
      <c r="G53" s="66"/>
      <c r="I53" s="64"/>
      <c r="J53" s="64"/>
    </row>
    <row r="54" spans="1:10">
      <c r="B54" s="93"/>
      <c r="I54" s="64"/>
      <c r="J54" s="64"/>
    </row>
    <row r="55" spans="1:10">
      <c r="I55" s="64"/>
      <c r="J55" s="64"/>
    </row>
    <row r="56" spans="1:10">
      <c r="B56" s="91"/>
      <c r="I56" s="64"/>
      <c r="J56" s="64"/>
    </row>
    <row r="57" spans="1:10">
      <c r="I57" s="64"/>
      <c r="J57" s="64"/>
    </row>
    <row r="58" spans="1:10">
      <c r="I58" s="64"/>
      <c r="J58" s="64"/>
    </row>
    <row r="60" spans="1:10">
      <c r="I60" s="68"/>
      <c r="J60" s="68"/>
    </row>
    <row r="61" spans="1:10">
      <c r="I61" s="68"/>
      <c r="J61" s="68"/>
    </row>
  </sheetData>
  <phoneticPr fontId="4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3B85-B9F2-439A-91EA-A71106E0AE31}">
  <dimension ref="A1:G112"/>
  <sheetViews>
    <sheetView zoomScale="90" zoomScaleNormal="90" workbookViewId="0"/>
  </sheetViews>
  <sheetFormatPr defaultColWidth="9.21875" defaultRowHeight="13.8"/>
  <cols>
    <col min="1" max="1" width="11.44140625" style="140" bestFit="1" customWidth="1"/>
    <col min="2" max="4" width="11.77734375" style="140" customWidth="1"/>
    <col min="5" max="7" width="8.44140625" style="140" bestFit="1" customWidth="1"/>
    <col min="8" max="16384" width="9.21875" style="140"/>
  </cols>
  <sheetData>
    <row r="1" spans="1:7" ht="34.5" customHeight="1">
      <c r="A1" s="139" t="s">
        <v>162</v>
      </c>
      <c r="B1" s="139" t="s">
        <v>164</v>
      </c>
      <c r="C1" s="139" t="s">
        <v>30</v>
      </c>
      <c r="D1" s="139" t="s">
        <v>165</v>
      </c>
      <c r="E1" s="164"/>
      <c r="F1" s="164"/>
      <c r="G1" s="164"/>
    </row>
    <row r="2" spans="1:7">
      <c r="A2" s="140" t="s">
        <v>112</v>
      </c>
      <c r="B2" s="156">
        <v>32.28</v>
      </c>
      <c r="C2" s="156">
        <v>13.11</v>
      </c>
      <c r="D2" s="157">
        <v>368.49</v>
      </c>
      <c r="E2" s="157"/>
      <c r="F2" s="156"/>
      <c r="G2" s="156"/>
    </row>
    <row r="3" spans="1:7">
      <c r="A3" s="140" t="s">
        <v>113</v>
      </c>
      <c r="B3" s="156">
        <v>33.11</v>
      </c>
      <c r="C3" s="156">
        <v>11.95</v>
      </c>
      <c r="D3" s="157">
        <v>324.56</v>
      </c>
      <c r="E3" s="157"/>
      <c r="F3" s="156"/>
      <c r="G3" s="156"/>
    </row>
    <row r="4" spans="1:7">
      <c r="A4" s="140" t="s">
        <v>114</v>
      </c>
      <c r="B4" s="156">
        <v>33.42</v>
      </c>
      <c r="C4" s="156">
        <v>11.58</v>
      </c>
      <c r="D4" s="157">
        <v>316.88</v>
      </c>
      <c r="E4" s="157"/>
      <c r="F4" s="156"/>
      <c r="G4" s="156"/>
    </row>
    <row r="5" spans="1:7">
      <c r="A5" s="140" t="s">
        <v>115</v>
      </c>
      <c r="B5" s="156">
        <v>35.54</v>
      </c>
      <c r="C5" s="156">
        <v>14.02</v>
      </c>
      <c r="D5" s="157">
        <v>345.02</v>
      </c>
      <c r="E5" s="157"/>
      <c r="F5" s="156"/>
      <c r="G5" s="156"/>
    </row>
    <row r="6" spans="1:7">
      <c r="A6" s="140" t="s">
        <v>116</v>
      </c>
      <c r="B6" s="156">
        <v>36.270000000000003</v>
      </c>
      <c r="C6" s="156">
        <v>13.38</v>
      </c>
      <c r="D6" s="157">
        <v>308.27999999999997</v>
      </c>
      <c r="E6" s="157"/>
      <c r="F6" s="156"/>
      <c r="G6" s="156"/>
    </row>
    <row r="7" spans="1:7">
      <c r="A7" s="140" t="s">
        <v>117</v>
      </c>
      <c r="B7" s="156">
        <v>37.97</v>
      </c>
      <c r="C7" s="156">
        <v>13.83</v>
      </c>
      <c r="D7" s="157">
        <v>299.5</v>
      </c>
      <c r="E7" s="157"/>
      <c r="F7" s="156"/>
      <c r="G7" s="156"/>
    </row>
    <row r="8" spans="1:7">
      <c r="A8" s="140" t="s">
        <v>118</v>
      </c>
      <c r="B8" s="156">
        <v>37.67</v>
      </c>
      <c r="C8" s="156">
        <v>13.68</v>
      </c>
      <c r="D8" s="157">
        <v>392.31</v>
      </c>
      <c r="E8" s="157"/>
      <c r="F8" s="156"/>
      <c r="G8" s="156"/>
    </row>
    <row r="9" spans="1:7">
      <c r="A9" s="140" t="s">
        <v>34</v>
      </c>
      <c r="B9" s="156">
        <v>38.94</v>
      </c>
      <c r="C9" s="156">
        <v>13.56</v>
      </c>
      <c r="D9" s="157">
        <v>439.81</v>
      </c>
      <c r="E9" s="157"/>
      <c r="F9" s="156"/>
      <c r="G9" s="156"/>
    </row>
    <row r="10" spans="1:7">
      <c r="A10" s="140" t="s">
        <v>37</v>
      </c>
      <c r="B10" s="156">
        <v>38.520000000000003</v>
      </c>
      <c r="C10" s="156">
        <v>14.55</v>
      </c>
      <c r="D10" s="157">
        <v>451.91</v>
      </c>
      <c r="E10" s="157"/>
      <c r="F10" s="156"/>
      <c r="G10" s="156"/>
    </row>
    <row r="11" spans="1:7">
      <c r="A11" s="140" t="s">
        <v>54</v>
      </c>
      <c r="B11" s="156">
        <v>38.78</v>
      </c>
      <c r="C11" s="156">
        <v>16</v>
      </c>
      <c r="D11" s="157">
        <v>385</v>
      </c>
      <c r="E11" s="157"/>
      <c r="F11" s="156"/>
      <c r="G11" s="156"/>
    </row>
    <row r="12" spans="1:7">
      <c r="A12" s="140" t="s">
        <v>163</v>
      </c>
      <c r="B12" s="156">
        <v>40.130000000000003</v>
      </c>
      <c r="C12" s="156">
        <v>17.5</v>
      </c>
      <c r="D12" s="157">
        <v>320</v>
      </c>
      <c r="E12" s="157"/>
      <c r="F12" s="156"/>
      <c r="G12" s="156"/>
    </row>
    <row r="18" spans="6:6">
      <c r="F18" s="118"/>
    </row>
    <row r="19" spans="6:6">
      <c r="F19" s="118"/>
    </row>
    <row r="20" spans="6:6">
      <c r="F20" s="118"/>
    </row>
    <row r="21" spans="6:6">
      <c r="F21" s="118"/>
    </row>
    <row r="22" spans="6:6">
      <c r="F22" s="118"/>
    </row>
    <row r="23" spans="6:6">
      <c r="F23" s="118"/>
    </row>
    <row r="24" spans="6:6">
      <c r="F24" s="118"/>
    </row>
    <row r="25" spans="6:6">
      <c r="F25" s="118"/>
    </row>
    <row r="26" spans="6:6">
      <c r="F26" s="118"/>
    </row>
    <row r="27" spans="6:6">
      <c r="F27" s="118"/>
    </row>
    <row r="28" spans="6:6">
      <c r="F28" s="118"/>
    </row>
    <row r="29" spans="6:6">
      <c r="F29" s="118"/>
    </row>
    <row r="30" spans="6:6">
      <c r="F30" s="118"/>
    </row>
    <row r="31" spans="6:6">
      <c r="F31" s="118"/>
    </row>
    <row r="32" spans="6:6">
      <c r="F32" s="118"/>
    </row>
    <row r="33" spans="6:6">
      <c r="F33" s="118"/>
    </row>
    <row r="34" spans="6:6">
      <c r="F34" s="118"/>
    </row>
    <row r="35" spans="6:6">
      <c r="F35" s="118"/>
    </row>
    <row r="36" spans="6:6">
      <c r="F36" s="118"/>
    </row>
    <row r="37" spans="6:6">
      <c r="F37" s="118"/>
    </row>
    <row r="38" spans="6:6">
      <c r="F38" s="118"/>
    </row>
    <row r="39" spans="6:6">
      <c r="F39" s="118"/>
    </row>
    <row r="40" spans="6:6">
      <c r="F40" s="118"/>
    </row>
    <row r="41" spans="6:6">
      <c r="F41" s="118"/>
    </row>
    <row r="42" spans="6:6">
      <c r="F42" s="118"/>
    </row>
    <row r="43" spans="6:6">
      <c r="F43" s="118"/>
    </row>
    <row r="44" spans="6:6">
      <c r="F44" s="118"/>
    </row>
    <row r="45" spans="6:6">
      <c r="F45" s="118"/>
    </row>
    <row r="46" spans="6:6">
      <c r="F46" s="118"/>
    </row>
    <row r="47" spans="6:6">
      <c r="F47" s="118"/>
    </row>
    <row r="48" spans="6:6">
      <c r="F48" s="118"/>
    </row>
    <row r="49" spans="6:6">
      <c r="F49" s="118"/>
    </row>
    <row r="50" spans="6:6">
      <c r="F50" s="118"/>
    </row>
    <row r="51" spans="6:6">
      <c r="F51" s="118"/>
    </row>
    <row r="52" spans="6:6">
      <c r="F52" s="118"/>
    </row>
    <row r="53" spans="6:6">
      <c r="F53" s="118"/>
    </row>
    <row r="54" spans="6:6">
      <c r="F54" s="118"/>
    </row>
    <row r="55" spans="6:6">
      <c r="F55" s="118"/>
    </row>
    <row r="56" spans="6:6">
      <c r="F56" s="118"/>
    </row>
    <row r="57" spans="6:6">
      <c r="F57" s="118"/>
    </row>
    <row r="58" spans="6:6">
      <c r="F58" s="118"/>
    </row>
    <row r="59" spans="6:6">
      <c r="F59" s="118"/>
    </row>
    <row r="60" spans="6:6">
      <c r="F60" s="118"/>
    </row>
    <row r="61" spans="6:6">
      <c r="F61" s="118"/>
    </row>
    <row r="62" spans="6:6">
      <c r="F62" s="118"/>
    </row>
    <row r="63" spans="6:6">
      <c r="F63" s="118"/>
    </row>
    <row r="64" spans="6:6">
      <c r="F64" s="118"/>
    </row>
    <row r="65" spans="6:6">
      <c r="F65" s="118"/>
    </row>
    <row r="66" spans="6:6">
      <c r="F66" s="118"/>
    </row>
    <row r="67" spans="6:6">
      <c r="F67" s="118"/>
    </row>
    <row r="68" spans="6:6">
      <c r="F68" s="118"/>
    </row>
    <row r="69" spans="6:6">
      <c r="F69" s="118"/>
    </row>
    <row r="70" spans="6:6">
      <c r="F70" s="118"/>
    </row>
    <row r="71" spans="6:6">
      <c r="F71" s="118"/>
    </row>
    <row r="72" spans="6:6">
      <c r="F72" s="118"/>
    </row>
    <row r="73" spans="6:6">
      <c r="F73" s="118"/>
    </row>
    <row r="74" spans="6:6">
      <c r="F74" s="118"/>
    </row>
    <row r="75" spans="6:6">
      <c r="F75" s="118"/>
    </row>
    <row r="76" spans="6:6">
      <c r="F76" s="118"/>
    </row>
    <row r="77" spans="6:6">
      <c r="F77" s="118"/>
    </row>
    <row r="78" spans="6:6">
      <c r="F78" s="118"/>
    </row>
    <row r="79" spans="6:6">
      <c r="F79" s="118"/>
    </row>
    <row r="80" spans="6:6">
      <c r="F80" s="118"/>
    </row>
    <row r="81" spans="6:6">
      <c r="F81" s="118"/>
    </row>
    <row r="82" spans="6:6">
      <c r="F82" s="118"/>
    </row>
    <row r="83" spans="6:6">
      <c r="F83" s="118"/>
    </row>
    <row r="84" spans="6:6">
      <c r="F84" s="118"/>
    </row>
    <row r="85" spans="6:6">
      <c r="F85" s="118"/>
    </row>
    <row r="86" spans="6:6">
      <c r="F86" s="118"/>
    </row>
    <row r="87" spans="6:6">
      <c r="F87" s="118"/>
    </row>
    <row r="88" spans="6:6">
      <c r="F88" s="118"/>
    </row>
    <row r="89" spans="6:6">
      <c r="F89" s="118"/>
    </row>
    <row r="90" spans="6:6">
      <c r="F90" s="118"/>
    </row>
    <row r="91" spans="6:6">
      <c r="F91" s="118"/>
    </row>
    <row r="92" spans="6:6">
      <c r="F92" s="118"/>
    </row>
    <row r="93" spans="6:6">
      <c r="F93" s="118"/>
    </row>
    <row r="94" spans="6:6">
      <c r="F94" s="118"/>
    </row>
    <row r="95" spans="6:6">
      <c r="F95" s="118"/>
    </row>
    <row r="96" spans="6:6">
      <c r="F96" s="118"/>
    </row>
    <row r="97" spans="6:6">
      <c r="F97" s="118"/>
    </row>
    <row r="98" spans="6:6">
      <c r="F98" s="118"/>
    </row>
    <row r="99" spans="6:6">
      <c r="F99" s="118"/>
    </row>
    <row r="100" spans="6:6">
      <c r="F100" s="118"/>
    </row>
    <row r="101" spans="6:6">
      <c r="F101" s="118"/>
    </row>
    <row r="102" spans="6:6">
      <c r="F102" s="118"/>
    </row>
    <row r="103" spans="6:6">
      <c r="F103" s="118"/>
    </row>
    <row r="104" spans="6:6">
      <c r="F104" s="118"/>
    </row>
    <row r="105" spans="6:6">
      <c r="F105" s="118"/>
    </row>
    <row r="106" spans="6:6">
      <c r="F106" s="118"/>
    </row>
    <row r="107" spans="6:6">
      <c r="F107" s="118"/>
    </row>
    <row r="108" spans="6:6">
      <c r="F108" s="118"/>
    </row>
    <row r="109" spans="6:6">
      <c r="F109" s="118"/>
    </row>
    <row r="110" spans="6:6">
      <c r="F110" s="118"/>
    </row>
    <row r="111" spans="6:6">
      <c r="F111" s="118"/>
    </row>
    <row r="112" spans="6:6">
      <c r="F112" s="118"/>
    </row>
  </sheetData>
  <phoneticPr fontId="114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www.w3.org/XML/1998/namespace"/>
    <ds:schemaRef ds:uri="c49de858-f9fd-4eb6-bcba-50396646711f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7818c5c2-d41f-4dce-801c-4e3595afcb3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 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prices</cp:keywords>
  <dc:description/>
  <cp:lastModifiedBy>Bukowski, Maria - REE-ERS</cp:lastModifiedBy>
  <cp:revision/>
  <dcterms:created xsi:type="dcterms:W3CDTF">2001-11-13T16:22:15Z</dcterms:created>
  <dcterms:modified xsi:type="dcterms:W3CDTF">2024-09-16T11:24:56Z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