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4/OCS-24J October 2024/"/>
    </mc:Choice>
  </mc:AlternateContent>
  <xr:revisionPtr revIDLastSave="113" documentId="13_ncr:1_{8F989980-0F84-478B-802D-B52337D91AA0}" xr6:coauthVersionLast="47" xr6:coauthVersionMax="47" xr10:uidLastSave="{6AE88B4C-FC69-4FED-BE62-58F24F672FF9}"/>
  <bookViews>
    <workbookView xWindow="-120" yWindow="-120" windowWidth="29040" windowHeight="15720" tabRatio="682" firstSheet="8" activeTab="8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99" r:id="rId9"/>
    <sheet name="Figure 2" sheetId="188" r:id="rId10"/>
    <sheet name="Figure 3" sheetId="195" r:id="rId11"/>
    <sheet name="Figure 4" sheetId="197" r:id="rId12"/>
  </sheets>
  <definedNames>
    <definedName name="_xlnm._FilterDatabase" localSheetId="9" hidden="1">'Figure 2'!$A$1:$L$1</definedName>
    <definedName name="_xlnm._FilterDatabase" localSheetId="11" hidden="1">'Figure 4'!$A$1:$L$1</definedName>
    <definedName name="_xlnm.Print_Area" localSheetId="1">'Table 1'!$A$1:$N$48</definedName>
    <definedName name="_xlnm.Print_Area" localSheetId="7">'Table 10'!$A$1:$G$50</definedName>
    <definedName name="_xlnm.Print_Area" localSheetId="2">'Table 2'!$A$1:$J$38</definedName>
    <definedName name="_xlnm.Print_Area" localSheetId="3">'Table 3'!$A$1:$L$51</definedName>
    <definedName name="_xlnm.Print_Area" localSheetId="5">'Table 8'!$A$1:$G$49</definedName>
    <definedName name="_xlnm.Print_Area" localSheetId="6">'Table 9'!$A$1:$I$51</definedName>
    <definedName name="_xlnm.Print_Area" localSheetId="4">'Tables 4-7'!$A$1:$O$52</definedName>
    <definedName name="WASDE_Updated" localSheetId="0">Contents!#REF!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" l="1"/>
  <c r="G46" i="1" l="1"/>
  <c r="J36" i="9" l="1"/>
  <c r="D36" i="9"/>
  <c r="H36" i="2"/>
  <c r="D36" i="2"/>
  <c r="L44" i="1" l="1"/>
  <c r="G44" i="1"/>
  <c r="G43" i="1"/>
  <c r="B36" i="2"/>
  <c r="E36" i="2" s="1"/>
  <c r="I36" i="2" s="1"/>
  <c r="G36" i="2" s="1"/>
  <c r="B36" i="9"/>
  <c r="E36" i="9" s="1"/>
  <c r="K36" i="9" s="1"/>
  <c r="G36" i="9" s="1"/>
  <c r="G7" i="1"/>
  <c r="N7" i="1"/>
  <c r="E45" i="1"/>
  <c r="J44" i="1"/>
  <c r="J43" i="1"/>
  <c r="D46" i="3" l="1"/>
  <c r="O45" i="3"/>
  <c r="J35" i="9" l="1"/>
  <c r="H35" i="2"/>
  <c r="L43" i="1"/>
  <c r="D35" i="9"/>
  <c r="D35" i="2"/>
  <c r="B35" i="9" l="1"/>
  <c r="E35" i="9" s="1"/>
  <c r="K35" i="9" s="1"/>
  <c r="G35" i="9" s="1"/>
  <c r="I35" i="9" s="1"/>
  <c r="B35" i="2"/>
  <c r="E35" i="2" s="1"/>
  <c r="I35" i="2" s="1"/>
  <c r="G35" i="2" s="1"/>
  <c r="H23" i="9" l="1"/>
  <c r="H6" i="9" s="1"/>
  <c r="D8" i="1" l="1"/>
  <c r="J34" i="9" l="1"/>
  <c r="D34" i="9"/>
  <c r="H34" i="2"/>
  <c r="D34" i="2"/>
  <c r="L42" i="1"/>
  <c r="L45" i="1" s="1"/>
  <c r="G42" i="1"/>
  <c r="G45" i="1" s="1"/>
  <c r="H45" i="1" l="1"/>
  <c r="M45" i="1" s="1"/>
  <c r="B34" i="9"/>
  <c r="E34" i="9" s="1"/>
  <c r="K34" i="9" s="1"/>
  <c r="G34" i="9" s="1"/>
  <c r="I34" i="9" s="1"/>
  <c r="B34" i="2"/>
  <c r="E34" i="2" s="1"/>
  <c r="I34" i="2" s="1"/>
  <c r="G34" i="2" s="1"/>
  <c r="J42" i="1"/>
  <c r="J45" i="1" s="1"/>
  <c r="J40" i="1"/>
  <c r="B11" i="9"/>
  <c r="E14" i="1"/>
  <c r="D15" i="9"/>
  <c r="K45" i="1" l="1"/>
  <c r="B11" i="2"/>
  <c r="L6" i="9"/>
  <c r="B22" i="9"/>
  <c r="B26" i="9" l="1"/>
  <c r="B12" i="9"/>
  <c r="E7" i="1"/>
  <c r="E33" i="1"/>
  <c r="H20" i="2" l="1"/>
  <c r="H11" i="2"/>
  <c r="H23" i="2"/>
  <c r="L40" i="1" l="1"/>
  <c r="H33" i="2"/>
  <c r="J33" i="9"/>
  <c r="D33" i="9"/>
  <c r="D33" i="2"/>
  <c r="B33" i="2"/>
  <c r="G40" i="1"/>
  <c r="B33" i="9"/>
  <c r="G11" i="1"/>
  <c r="L34" i="1"/>
  <c r="L32" i="1"/>
  <c r="L31" i="1"/>
  <c r="L30" i="1"/>
  <c r="L27" i="1"/>
  <c r="L25" i="1"/>
  <c r="L24" i="1"/>
  <c r="L23" i="1"/>
  <c r="L21" i="1"/>
  <c r="L20" i="1"/>
  <c r="L19" i="1"/>
  <c r="L17" i="1"/>
  <c r="L16" i="1"/>
  <c r="L15" i="1"/>
  <c r="L13" i="1"/>
  <c r="L12" i="1"/>
  <c r="L11" i="1"/>
  <c r="H22" i="2"/>
  <c r="H28" i="2"/>
  <c r="H27" i="2"/>
  <c r="H26" i="2"/>
  <c r="H21" i="2"/>
  <c r="H19" i="2"/>
  <c r="H18" i="2"/>
  <c r="H17" i="2"/>
  <c r="H16" i="2"/>
  <c r="H15" i="2"/>
  <c r="H14" i="2"/>
  <c r="H13" i="2"/>
  <c r="H12" i="2"/>
  <c r="J28" i="9"/>
  <c r="J27" i="9"/>
  <c r="J26" i="9"/>
  <c r="J23" i="9"/>
  <c r="J22" i="9"/>
  <c r="J21" i="9"/>
  <c r="J20" i="9"/>
  <c r="J19" i="9"/>
  <c r="J18" i="9"/>
  <c r="J17" i="9"/>
  <c r="J16" i="9"/>
  <c r="J15" i="9"/>
  <c r="J14" i="9"/>
  <c r="J13" i="9"/>
  <c r="J11" i="9"/>
  <c r="D28" i="9"/>
  <c r="D26" i="9"/>
  <c r="D23" i="9"/>
  <c r="D22" i="9"/>
  <c r="D21" i="9"/>
  <c r="D20" i="9"/>
  <c r="D19" i="9"/>
  <c r="D18" i="9"/>
  <c r="D16" i="9"/>
  <c r="D12" i="9"/>
  <c r="D28" i="2"/>
  <c r="D27" i="2"/>
  <c r="D26" i="2"/>
  <c r="D23" i="2"/>
  <c r="D21" i="2"/>
  <c r="D20" i="2"/>
  <c r="D19" i="2"/>
  <c r="D18" i="2"/>
  <c r="D17" i="2"/>
  <c r="D16" i="2"/>
  <c r="D15" i="2"/>
  <c r="D14" i="2"/>
  <c r="D13" i="2"/>
  <c r="G35" i="1"/>
  <c r="G34" i="1"/>
  <c r="G32" i="1"/>
  <c r="G31" i="1"/>
  <c r="G30" i="1"/>
  <c r="G27" i="1"/>
  <c r="G6" i="1" s="1"/>
  <c r="G25" i="1"/>
  <c r="G24" i="1"/>
  <c r="G23" i="1"/>
  <c r="G21" i="1"/>
  <c r="G20" i="1"/>
  <c r="G19" i="1"/>
  <c r="G16" i="1"/>
  <c r="G15" i="1"/>
  <c r="G12" i="1"/>
  <c r="E41" i="1"/>
  <c r="D32" i="9"/>
  <c r="D32" i="2"/>
  <c r="G39" i="1"/>
  <c r="J32" i="9"/>
  <c r="H31" i="2"/>
  <c r="H32" i="2"/>
  <c r="B32" i="2"/>
  <c r="L39" i="1"/>
  <c r="L38" i="1"/>
  <c r="E33" i="2" l="1"/>
  <c r="I33" i="2" s="1"/>
  <c r="G33" i="2" s="1"/>
  <c r="L41" i="1"/>
  <c r="E33" i="9"/>
  <c r="K33" i="9" s="1"/>
  <c r="G33" i="9" s="1"/>
  <c r="I33" i="9" s="1"/>
  <c r="E32" i="2"/>
  <c r="I32" i="2" s="1"/>
  <c r="G32" i="2" s="1"/>
  <c r="B32" i="9"/>
  <c r="E32" i="9" s="1"/>
  <c r="K32" i="9" s="1"/>
  <c r="G32" i="9" s="1"/>
  <c r="I32" i="9" s="1"/>
  <c r="J39" i="1"/>
  <c r="J31" i="9" l="1"/>
  <c r="D31" i="9"/>
  <c r="B31" i="9"/>
  <c r="D31" i="2"/>
  <c r="B31" i="2"/>
  <c r="J38" i="1"/>
  <c r="J41" i="1" s="1"/>
  <c r="G38" i="1"/>
  <c r="G41" i="1" s="1"/>
  <c r="H41" i="1" s="1"/>
  <c r="M41" i="1" s="1"/>
  <c r="E31" i="2" l="1"/>
  <c r="I31" i="2" s="1"/>
  <c r="G31" i="2" s="1"/>
  <c r="K41" i="1"/>
  <c r="E31" i="9"/>
  <c r="K31" i="9" s="1"/>
  <c r="G31" i="9" s="1"/>
  <c r="I31" i="9" s="1"/>
  <c r="D7" i="1" l="1"/>
  <c r="D6" i="1"/>
  <c r="J6" i="2"/>
  <c r="G7" i="9"/>
  <c r="K7" i="9" s="1"/>
  <c r="B7" i="9"/>
  <c r="E7" i="9" s="1"/>
  <c r="H44" i="3"/>
  <c r="N44" i="3" s="1"/>
  <c r="L44" i="3" s="1"/>
  <c r="D45" i="3"/>
  <c r="D44" i="3"/>
  <c r="I32" i="3"/>
  <c r="I31" i="3"/>
  <c r="E31" i="3"/>
  <c r="I20" i="3"/>
  <c r="B20" i="3"/>
  <c r="E20" i="3" s="1"/>
  <c r="E19" i="3"/>
  <c r="G19" i="3" s="1"/>
  <c r="I19" i="3" s="1"/>
  <c r="J7" i="3"/>
  <c r="B7" i="3"/>
  <c r="E7" i="3" s="1"/>
  <c r="E6" i="3"/>
  <c r="J6" i="3" s="1"/>
  <c r="I6" i="3" s="1"/>
  <c r="L7" i="9" l="1"/>
  <c r="J31" i="3"/>
  <c r="B32" i="3" s="1"/>
  <c r="E32" i="3" s="1"/>
  <c r="J32" i="3" s="1"/>
  <c r="B7" i="2"/>
  <c r="E7" i="2" s="1"/>
  <c r="J20" i="3"/>
  <c r="K7" i="3"/>
  <c r="I7" i="2" l="1"/>
  <c r="J7" i="2" s="1"/>
  <c r="I33" i="3"/>
  <c r="J30" i="9" l="1"/>
  <c r="H30" i="2"/>
  <c r="L36" i="1"/>
  <c r="D30" i="9"/>
  <c r="D30" i="2"/>
  <c r="G36" i="1"/>
  <c r="J36" i="1"/>
  <c r="B30" i="9" l="1"/>
  <c r="E30" i="9" s="1"/>
  <c r="K30" i="9" s="1"/>
  <c r="G30" i="9" s="1"/>
  <c r="I30" i="9" s="1"/>
  <c r="B30" i="2"/>
  <c r="E30" i="2" s="1"/>
  <c r="I30" i="2" s="1"/>
  <c r="E37" i="1"/>
  <c r="G30" i="2" l="1"/>
  <c r="I8" i="2"/>
  <c r="J8" i="3"/>
  <c r="J29" i="9"/>
  <c r="D29" i="9"/>
  <c r="H29" i="2"/>
  <c r="D29" i="2"/>
  <c r="L35" i="1"/>
  <c r="J35" i="1" l="1"/>
  <c r="B29" i="2"/>
  <c r="E29" i="2" s="1"/>
  <c r="I29" i="2" s="1"/>
  <c r="B29" i="9"/>
  <c r="E29" i="9" s="1"/>
  <c r="K29" i="9" s="1"/>
  <c r="G29" i="9" s="1"/>
  <c r="I29" i="9" s="1"/>
  <c r="G29" i="2" l="1"/>
  <c r="G37" i="1" l="1"/>
  <c r="H37" i="1" s="1"/>
  <c r="M37" i="1" s="1"/>
  <c r="L37" i="1"/>
  <c r="B28" i="9" l="1"/>
  <c r="E28" i="9" s="1"/>
  <c r="K28" i="9" s="1"/>
  <c r="G28" i="9" s="1"/>
  <c r="I28" i="9" s="1"/>
  <c r="B28" i="2"/>
  <c r="E28" i="2" s="1"/>
  <c r="I28" i="2" s="1"/>
  <c r="G28" i="2" s="1"/>
  <c r="J34" i="1"/>
  <c r="J37" i="1" s="1"/>
  <c r="K37" i="1" s="1"/>
  <c r="K8" i="9" l="1"/>
  <c r="D27" i="9" l="1"/>
  <c r="J32" i="1"/>
  <c r="B27" i="2" l="1"/>
  <c r="E27" i="2" s="1"/>
  <c r="I27" i="2" s="1"/>
  <c r="G27" i="2" s="1"/>
  <c r="B27" i="9"/>
  <c r="E27" i="9" s="1"/>
  <c r="K27" i="9" s="1"/>
  <c r="G27" i="9" s="1"/>
  <c r="I27" i="9" s="1"/>
  <c r="J31" i="1" l="1"/>
  <c r="B8" i="9" l="1"/>
  <c r="J6" i="9"/>
  <c r="D6" i="9"/>
  <c r="C23" i="9"/>
  <c r="E22" i="9"/>
  <c r="K22" i="9" s="1"/>
  <c r="B21" i="9"/>
  <c r="B20" i="9"/>
  <c r="B19" i="9"/>
  <c r="B18" i="9"/>
  <c r="E18" i="9" s="1"/>
  <c r="K18" i="9" s="1"/>
  <c r="G18" i="9" s="1"/>
  <c r="I18" i="9" s="1"/>
  <c r="D17" i="9"/>
  <c r="B17" i="9"/>
  <c r="B16" i="9"/>
  <c r="B15" i="9"/>
  <c r="D14" i="9"/>
  <c r="B14" i="9"/>
  <c r="D13" i="9"/>
  <c r="B13" i="9"/>
  <c r="J12" i="9"/>
  <c r="D11" i="9"/>
  <c r="B26" i="2"/>
  <c r="E26" i="2" s="1"/>
  <c r="I26" i="2" s="1"/>
  <c r="G26" i="2" s="1"/>
  <c r="H6" i="2"/>
  <c r="D6" i="2"/>
  <c r="C23" i="2"/>
  <c r="D22" i="2"/>
  <c r="B22" i="2"/>
  <c r="B21" i="2"/>
  <c r="B20" i="2"/>
  <c r="E20" i="2" s="1"/>
  <c r="I20" i="2" s="1"/>
  <c r="G20" i="2" s="1"/>
  <c r="B19" i="2"/>
  <c r="B18" i="2"/>
  <c r="B17" i="2"/>
  <c r="B16" i="2"/>
  <c r="B15" i="2"/>
  <c r="E15" i="2" s="1"/>
  <c r="I15" i="2" s="1"/>
  <c r="G15" i="2" s="1"/>
  <c r="B14" i="2"/>
  <c r="B13" i="2"/>
  <c r="D12" i="2"/>
  <c r="B12" i="2"/>
  <c r="D11" i="2"/>
  <c r="E11" i="2" s="1"/>
  <c r="I11" i="2" s="1"/>
  <c r="E12" i="2" l="1"/>
  <c r="I12" i="2" s="1"/>
  <c r="G12" i="2" s="1"/>
  <c r="E14" i="9"/>
  <c r="K14" i="9" s="1"/>
  <c r="G14" i="9" s="1"/>
  <c r="I14" i="9" s="1"/>
  <c r="C6" i="9"/>
  <c r="E23" i="9"/>
  <c r="E6" i="9" s="1"/>
  <c r="K6" i="9" s="1"/>
  <c r="G6" i="9" s="1"/>
  <c r="I6" i="9" s="1"/>
  <c r="E6" i="2"/>
  <c r="I6" i="2" s="1"/>
  <c r="E12" i="9"/>
  <c r="K12" i="9" s="1"/>
  <c r="G12" i="9" s="1"/>
  <c r="I12" i="9" s="1"/>
  <c r="E16" i="9"/>
  <c r="K16" i="9" s="1"/>
  <c r="G16" i="9" s="1"/>
  <c r="I16" i="9" s="1"/>
  <c r="E20" i="9"/>
  <c r="K20" i="9" s="1"/>
  <c r="G20" i="9" s="1"/>
  <c r="I20" i="9" s="1"/>
  <c r="E16" i="2"/>
  <c r="I16" i="2" s="1"/>
  <c r="G16" i="2" s="1"/>
  <c r="E19" i="9"/>
  <c r="K19" i="9" s="1"/>
  <c r="G19" i="9" s="1"/>
  <c r="I19" i="9" s="1"/>
  <c r="E19" i="2"/>
  <c r="I19" i="2" s="1"/>
  <c r="G19" i="2" s="1"/>
  <c r="E13" i="9"/>
  <c r="K13" i="9" s="1"/>
  <c r="G13" i="9" s="1"/>
  <c r="I13" i="9" s="1"/>
  <c r="E14" i="2"/>
  <c r="I14" i="2" s="1"/>
  <c r="G14" i="2" s="1"/>
  <c r="E18" i="2"/>
  <c r="I18" i="2" s="1"/>
  <c r="G18" i="2" s="1"/>
  <c r="E22" i="2"/>
  <c r="I22" i="2" s="1"/>
  <c r="G22" i="2" s="1"/>
  <c r="E23" i="2"/>
  <c r="G11" i="2"/>
  <c r="E17" i="9"/>
  <c r="K17" i="9" s="1"/>
  <c r="G17" i="9" s="1"/>
  <c r="I17" i="9" s="1"/>
  <c r="G22" i="9"/>
  <c r="I22" i="9" s="1"/>
  <c r="E15" i="9"/>
  <c r="K15" i="9" s="1"/>
  <c r="G15" i="9" s="1"/>
  <c r="I15" i="9" s="1"/>
  <c r="E21" i="9"/>
  <c r="K21" i="9" s="1"/>
  <c r="G21" i="9" s="1"/>
  <c r="I21" i="9" s="1"/>
  <c r="E11" i="9"/>
  <c r="K11" i="9" s="1"/>
  <c r="E13" i="2"/>
  <c r="I13" i="2" s="1"/>
  <c r="G13" i="2" s="1"/>
  <c r="E17" i="2"/>
  <c r="I17" i="2" s="1"/>
  <c r="G17" i="2" s="1"/>
  <c r="E21" i="2"/>
  <c r="I21" i="2" s="1"/>
  <c r="G21" i="2" s="1"/>
  <c r="J17" i="1"/>
  <c r="B49" i="1"/>
  <c r="N46" i="3"/>
  <c r="G23" i="2" l="1"/>
  <c r="K23" i="9"/>
  <c r="G23" i="9" s="1"/>
  <c r="I23" i="9" s="1"/>
  <c r="G11" i="9"/>
  <c r="I11" i="9" s="1"/>
  <c r="I23" i="2"/>
  <c r="G6" i="2"/>
  <c r="G33" i="1" l="1"/>
  <c r="L33" i="1"/>
  <c r="H33" i="1" l="1"/>
  <c r="M33" i="1" s="1"/>
  <c r="J30" i="1"/>
  <c r="J33" i="1" s="1"/>
  <c r="J46" i="1" s="1"/>
  <c r="K33" i="1" l="1"/>
  <c r="L6" i="1"/>
  <c r="H6" i="1"/>
  <c r="M6" i="1" s="1"/>
  <c r="J25" i="1"/>
  <c r="J24" i="1"/>
  <c r="J23" i="1"/>
  <c r="E26" i="1"/>
  <c r="J21" i="1"/>
  <c r="J20" i="1"/>
  <c r="J19" i="1"/>
  <c r="N18" i="1"/>
  <c r="E22" i="1" s="1"/>
  <c r="G17" i="1"/>
  <c r="J16" i="1"/>
  <c r="J15" i="1"/>
  <c r="N14" i="1"/>
  <c r="E18" i="1" s="1"/>
  <c r="J13" i="1"/>
  <c r="G13" i="1"/>
  <c r="J12" i="1"/>
  <c r="J11" i="1"/>
  <c r="L14" i="1" l="1"/>
  <c r="L18" i="1"/>
  <c r="G26" i="1"/>
  <c r="H26" i="1" s="1"/>
  <c r="M26" i="1" s="1"/>
  <c r="G14" i="1"/>
  <c r="H14" i="1" s="1"/>
  <c r="M14" i="1" s="1"/>
  <c r="J22" i="1"/>
  <c r="L22" i="1"/>
  <c r="G18" i="1"/>
  <c r="H18" i="1" s="1"/>
  <c r="M18" i="1" s="1"/>
  <c r="J18" i="1"/>
  <c r="J26" i="1"/>
  <c r="L26" i="1"/>
  <c r="G22" i="1"/>
  <c r="H22" i="1" s="1"/>
  <c r="M22" i="1" s="1"/>
  <c r="J14" i="1"/>
  <c r="K22" i="1" l="1"/>
  <c r="K14" i="1"/>
  <c r="K18" i="1"/>
  <c r="K26" i="1"/>
  <c r="J27" i="1"/>
  <c r="J6" i="1" s="1"/>
  <c r="K6" i="1" s="1"/>
  <c r="M8" i="1" l="1"/>
  <c r="I21" i="3" l="1"/>
  <c r="E26" i="9" l="1"/>
  <c r="K26" i="9" s="1"/>
  <c r="G26" i="9" s="1"/>
  <c r="I26" i="9" s="1"/>
  <c r="B52" i="6" l="1"/>
  <c r="B52" i="5"/>
  <c r="B51" i="4"/>
  <c r="B50" i="3"/>
  <c r="B39" i="9"/>
  <c r="B39" i="2"/>
  <c r="H7" i="1" l="1"/>
  <c r="E45" i="3"/>
  <c r="H45" i="3" s="1"/>
  <c r="N45" i="3" s="1"/>
  <c r="E8" i="1" l="1"/>
  <c r="M7" i="1"/>
  <c r="B21" i="3"/>
  <c r="E21" i="3" s="1"/>
  <c r="J21" i="3" s="1"/>
  <c r="H8" i="1" l="1"/>
  <c r="N8" i="1" s="1"/>
  <c r="B33" i="3" l="1"/>
  <c r="E33" i="3" s="1"/>
  <c r="J33" i="3" s="1"/>
  <c r="E8" i="9" l="1"/>
  <c r="L8" i="9" s="1"/>
  <c r="B8" i="3" l="1"/>
  <c r="E8" i="3" s="1"/>
  <c r="K8" i="3" s="1"/>
  <c r="B8" i="2" l="1"/>
  <c r="E8" i="2" s="1"/>
  <c r="J8" i="2" s="1"/>
  <c r="E46" i="3" l="1"/>
  <c r="H46" i="3" s="1"/>
  <c r="O46" i="3" s="1"/>
  <c r="L45" i="3"/>
  <c r="K7" i="1" l="1"/>
</calcChain>
</file>

<file path=xl/sharedStrings.xml><?xml version="1.0" encoding="utf-8"?>
<sst xmlns="http://schemas.openxmlformats.org/spreadsheetml/2006/main" count="615" uniqueCount="179">
  <si>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</si>
  <si>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</si>
  <si>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</si>
  <si>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</si>
  <si>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</si>
  <si>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</si>
  <si>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</si>
  <si>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</si>
  <si>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</si>
  <si>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</si>
  <si>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</si>
  <si>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Data for figures are located after the 10 data tables.</t>
  </si>
  <si>
    <t>Contact: Maria Bukowski; Bryn Swearingen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</si>
  <si>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</si>
  <si>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</si>
  <si>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</si>
  <si>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</si>
  <si>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</si>
  <si>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</si>
  <si>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</si>
  <si>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</si>
  <si>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</si>
  <si>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</si>
  <si>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</si>
  <si>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</si>
  <si>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</si>
  <si>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</si>
  <si>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</si>
  <si>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</si>
  <si>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</si>
  <si>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</si>
  <si>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</si>
  <si>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</si>
  <si>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</si>
  <si>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</si>
  <si>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2022/23</t>
  </si>
  <si>
    <r>
      <t>2023/24</t>
    </r>
    <r>
      <rPr>
        <vertAlign val="superscript"/>
        <sz val="11"/>
        <rFont val="Arial"/>
        <family val="2"/>
      </rPr>
      <t>1</t>
    </r>
  </si>
  <si>
    <r>
      <t>2024/25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</si>
  <si>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</si>
  <si>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</si>
  <si>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</si>
  <si>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</si>
  <si>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</si>
  <si>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</si>
  <si>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</si>
  <si>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</si>
  <si>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</si>
  <si>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</si>
  <si>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</si>
  <si>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</si>
  <si>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</si>
  <si>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</si>
  <si>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</si>
  <si>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</si>
  <si>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2023/24</t>
  </si>
  <si>
    <t xml:space="preserve"> March-May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</si>
  <si>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36.74371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</si>
  <si>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</si>
  <si>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</si>
  <si>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</si>
  <si>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</si>
  <si>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</si>
  <si>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</si>
  <si>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</si>
  <si>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</si>
  <si>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</si>
  <si>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</si>
  <si>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</si>
  <si>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</si>
  <si>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</si>
  <si>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</si>
  <si>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</si>
  <si>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</si>
  <si>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</si>
  <si>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</si>
  <si>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</si>
  <si>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</si>
  <si>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</si>
  <si>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2</t>
    </r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</si>
  <si>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</si>
  <si>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</si>
  <si>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</si>
  <si>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</si>
  <si>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</si>
  <si>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</si>
  <si>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</si>
  <si>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</si>
  <si>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</si>
  <si>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</si>
  <si>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</si>
  <si>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</si>
  <si>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</si>
  <si>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</si>
  <si>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</si>
  <si>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</si>
  <si>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</si>
  <si>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 per 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</si>
  <si>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</si>
  <si>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</si>
  <si>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</si>
  <si>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</si>
  <si>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</si>
  <si>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</si>
  <si>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</si>
  <si>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</si>
  <si>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</si>
  <si>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</si>
  <si>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</si>
  <si>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</si>
  <si>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</si>
  <si>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</si>
  <si>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</si>
  <si>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</si>
  <si>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</si>
  <si>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</si>
  <si>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</si>
  <si>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</si>
  <si>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</si>
  <si>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</si>
  <si>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</si>
  <si>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</si>
  <si>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</si>
  <si>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</si>
  <si>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r>
      <t>2023/24</t>
    </r>
    <r>
      <rPr>
        <vertAlign val="superscript"/>
        <sz val="11"/>
        <rFont val="Arial"/>
        <family val="2"/>
      </rPr>
      <t>4</t>
    </r>
  </si>
  <si>
    <r>
      <t>2024/25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</si>
  <si>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</si>
  <si>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</si>
  <si>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</si>
  <si>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</si>
  <si>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</si>
  <si>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</si>
  <si>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</si>
  <si>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</si>
  <si>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</si>
  <si>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</si>
  <si>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</si>
  <si>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</si>
  <si>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</si>
  <si>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</si>
  <si>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</si>
  <si>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</si>
  <si>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</si>
  <si>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2023/24</t>
    </r>
    <r>
      <rPr>
        <vertAlign val="superscript"/>
        <sz val="11"/>
        <rFont val="Arial"/>
        <family val="2"/>
      </rPr>
      <t>7</t>
    </r>
  </si>
  <si>
    <r>
      <t>2024/25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</si>
  <si>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</si>
  <si>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</si>
  <si>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</si>
  <si>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</si>
  <si>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</si>
  <si>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</si>
  <si>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</si>
  <si>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</si>
  <si>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</si>
  <si>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</si>
  <si>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</si>
  <si>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</si>
  <si>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</si>
  <si>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</si>
  <si>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</si>
  <si>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</si>
  <si>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t>Oil type harvested area</t>
  </si>
  <si>
    <t>Nonoil type harvested area</t>
  </si>
  <si>
    <t>Total production</t>
  </si>
  <si>
    <t>2024/25*</t>
  </si>
  <si>
    <t>Food use</t>
  </si>
  <si>
    <t>Seed and residual</t>
  </si>
  <si>
    <t>2004/05</t>
  </si>
  <si>
    <t>2005/06</t>
  </si>
  <si>
    <t>2006/07</t>
  </si>
  <si>
    <t>2007/08</t>
  </si>
  <si>
    <t>2008/09</t>
  </si>
  <si>
    <t>2009/10</t>
  </si>
  <si>
    <t>Monthly average prices</t>
  </si>
  <si>
    <t>Palm oil, Malaysia (FOB, dollars per ton)</t>
  </si>
  <si>
    <t>Soybean oil,  Argentina (Up River) (FOB, dollars per ton)</t>
  </si>
  <si>
    <t>Export</t>
  </si>
  <si>
    <t>Industrial use</t>
  </si>
  <si>
    <t>2024/25 Sep*</t>
  </si>
  <si>
    <t>2024/25 Oct*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</si>
</sst>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0000"/>
    <numFmt numFmtId="175" formatCode="0.000000"/>
    <numFmt numFmtId="176" formatCode="0.0000000"/>
    <numFmt numFmtId="177" formatCode="0.000"/>
    <numFmt numFmtId="178" formatCode="#,##0.000"/>
    <numFmt numFmtId="179" formatCode="mmm\-yyyy"/>
  </numFmts>
  <fonts count="1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name val="Helv"/>
    </font>
    <font>
      <u/>
      <sz val="11"/>
      <color theme="1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4" tint="0.39997558519241921"/>
      </bottom>
      <diagonal/>
    </border>
  </borders>
  <cellStyleXfs count="389">
    <xf numFmtId="0" fontId="0" fillId="0" borderId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3" fillId="0" borderId="0"/>
    <xf numFmtId="0" fontId="49" fillId="0" borderId="0"/>
    <xf numFmtId="0" fontId="49" fillId="0" borderId="0"/>
    <xf numFmtId="0" fontId="49" fillId="0" borderId="0"/>
    <xf numFmtId="0" fontId="60" fillId="0" borderId="0"/>
    <xf numFmtId="9" fontId="48" fillId="0" borderId="0" applyFont="0" applyFill="0" applyBorder="0" applyAlignment="0" applyProtection="0"/>
    <xf numFmtId="0" fontId="48" fillId="0" borderId="0"/>
    <xf numFmtId="43" fontId="48" fillId="0" borderId="0" applyFont="0" applyFill="0" applyBorder="0" applyAlignment="0" applyProtection="0"/>
    <xf numFmtId="0" fontId="48" fillId="0" borderId="0"/>
    <xf numFmtId="0" fontId="62" fillId="0" borderId="0"/>
    <xf numFmtId="0" fontId="47" fillId="0" borderId="0"/>
    <xf numFmtId="0" fontId="46" fillId="0" borderId="0"/>
    <xf numFmtId="43" fontId="48" fillId="0" borderId="0" applyFont="0" applyFill="0" applyBorder="0" applyAlignment="0" applyProtection="0"/>
    <xf numFmtId="0" fontId="48" fillId="0" borderId="0"/>
    <xf numFmtId="0" fontId="48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43" fontId="44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42" fillId="0" borderId="0"/>
    <xf numFmtId="0" fontId="41" fillId="0" borderId="0"/>
    <xf numFmtId="43" fontId="41" fillId="0" borderId="0" applyFont="0" applyFill="0" applyBorder="0" applyAlignment="0" applyProtection="0"/>
    <xf numFmtId="0" fontId="40" fillId="0" borderId="0"/>
    <xf numFmtId="44" fontId="48" fillId="0" borderId="0" applyFont="0" applyFill="0" applyBorder="0" applyAlignment="0" applyProtection="0"/>
    <xf numFmtId="0" fontId="39" fillId="0" borderId="0"/>
    <xf numFmtId="0" fontId="38" fillId="0" borderId="0"/>
    <xf numFmtId="0" fontId="37" fillId="0" borderId="0"/>
    <xf numFmtId="0" fontId="36" fillId="0" borderId="0"/>
    <xf numFmtId="43" fontId="35" fillId="0" borderId="0" applyFont="0" applyFill="0" applyBorder="0" applyAlignment="0" applyProtection="0"/>
    <xf numFmtId="0" fontId="34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43" fontId="14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69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0" fillId="0" borderId="8" applyNumberFormat="0" applyFont="0" applyProtection="0">
      <alignment wrapText="1"/>
    </xf>
    <xf numFmtId="43" fontId="7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/>
    <xf numFmtId="0" fontId="70" fillId="0" borderId="0" applyNumberFormat="0" applyProtection="0">
      <alignment vertical="top" wrapText="1"/>
    </xf>
    <xf numFmtId="0" fontId="70" fillId="0" borderId="9" applyNumberFormat="0" applyProtection="0">
      <alignment vertical="top" wrapText="1"/>
    </xf>
    <xf numFmtId="0" fontId="72" fillId="0" borderId="7" applyNumberFormat="0" applyProtection="0">
      <alignment wrapText="1"/>
    </xf>
    <xf numFmtId="0" fontId="72" fillId="0" borderId="10" applyNumberFormat="0" applyProtection="0">
      <alignment horizontal="left" wrapText="1"/>
    </xf>
    <xf numFmtId="0" fontId="73" fillId="0" borderId="0" applyNumberFormat="0" applyFill="0" applyBorder="0" applyAlignment="0" applyProtection="0">
      <alignment vertical="top"/>
      <protection locked="0"/>
    </xf>
    <xf numFmtId="0" fontId="72" fillId="0" borderId="11" applyNumberFormat="0" applyProtection="0">
      <alignment wrapText="1"/>
    </xf>
    <xf numFmtId="0" fontId="70" fillId="0" borderId="12" applyNumberFormat="0" applyFont="0" applyFill="0" applyProtection="0">
      <alignment wrapText="1"/>
    </xf>
    <xf numFmtId="0" fontId="72" fillId="0" borderId="13" applyNumberFormat="0" applyFill="0" applyProtection="0">
      <alignment wrapText="1"/>
    </xf>
    <xf numFmtId="0" fontId="74" fillId="0" borderId="0" applyNumberFormat="0" applyProtection="0">
      <alignment horizontal="left"/>
    </xf>
    <xf numFmtId="0" fontId="75" fillId="0" borderId="0" applyNumberFormat="0" applyFill="0" applyBorder="0" applyAlignment="0" applyProtection="0"/>
    <xf numFmtId="0" fontId="76" fillId="0" borderId="7" applyNumberFormat="0" applyFill="0" applyAlignment="0" applyProtection="0"/>
    <xf numFmtId="0" fontId="77" fillId="0" borderId="14" applyNumberFormat="0" applyFill="0" applyAlignment="0" applyProtection="0"/>
    <xf numFmtId="0" fontId="78" fillId="0" borderId="15" applyNumberFormat="0" applyFill="0" applyAlignment="0" applyProtection="0"/>
    <xf numFmtId="0" fontId="78" fillId="0" borderId="0" applyNumberFormat="0" applyFill="0" applyBorder="0" applyAlignment="0" applyProtection="0"/>
    <xf numFmtId="0" fontId="79" fillId="3" borderId="0" applyNumberFormat="0" applyBorder="0" applyAlignment="0" applyProtection="0"/>
    <xf numFmtId="0" fontId="80" fillId="4" borderId="0" applyNumberFormat="0" applyBorder="0" applyAlignment="0" applyProtection="0"/>
    <xf numFmtId="0" fontId="81" fillId="5" borderId="0" applyNumberFormat="0" applyBorder="0" applyAlignment="0" applyProtection="0"/>
    <xf numFmtId="0" fontId="82" fillId="6" borderId="16" applyNumberFormat="0" applyAlignment="0" applyProtection="0"/>
    <xf numFmtId="0" fontId="83" fillId="7" borderId="17" applyNumberFormat="0" applyAlignment="0" applyProtection="0"/>
    <xf numFmtId="0" fontId="84" fillId="7" borderId="16" applyNumberFormat="0" applyAlignment="0" applyProtection="0"/>
    <xf numFmtId="0" fontId="85" fillId="0" borderId="18" applyNumberFormat="0" applyFill="0" applyAlignment="0" applyProtection="0"/>
    <xf numFmtId="0" fontId="86" fillId="8" borderId="19" applyNumberFormat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21" applyNumberFormat="0" applyFill="0" applyAlignment="0" applyProtection="0"/>
    <xf numFmtId="0" fontId="90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90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90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90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9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9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8" fillId="55" borderId="32" applyNumberFormat="0" applyFont="0" applyAlignment="0" applyProtection="0"/>
    <xf numFmtId="0" fontId="48" fillId="55" borderId="40" applyNumberFormat="0" applyFont="0" applyAlignment="0" applyProtection="0"/>
    <xf numFmtId="0" fontId="100" fillId="52" borderId="39" applyNumberFormat="0" applyAlignment="0" applyProtection="0"/>
    <xf numFmtId="0" fontId="6" fillId="9" borderId="20" applyNumberFormat="0" applyFont="0" applyAlignment="0" applyProtection="0"/>
    <xf numFmtId="0" fontId="100" fillId="52" borderId="31" applyNumberFormat="0" applyAlignment="0" applyProtection="0"/>
    <xf numFmtId="0" fontId="91" fillId="0" borderId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90" fillId="33" borderId="0" applyNumberFormat="0" applyBorder="0" applyAlignment="0" applyProtection="0"/>
    <xf numFmtId="43" fontId="93" fillId="0" borderId="0" applyFont="0" applyFill="0" applyBorder="0" applyAlignment="0" applyProtection="0"/>
    <xf numFmtId="0" fontId="90" fillId="29" borderId="0" applyNumberFormat="0" applyBorder="0" applyAlignment="0" applyProtection="0"/>
    <xf numFmtId="43" fontId="6" fillId="0" borderId="0" applyFont="0" applyFill="0" applyBorder="0" applyAlignment="0" applyProtection="0"/>
    <xf numFmtId="0" fontId="90" fillId="25" borderId="0" applyNumberFormat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0" fontId="90" fillId="21" borderId="0" applyNumberFormat="0" applyBorder="0" applyAlignment="0" applyProtection="0"/>
    <xf numFmtId="43" fontId="93" fillId="0" borderId="0" applyFont="0" applyFill="0" applyBorder="0" applyAlignment="0" applyProtection="0"/>
    <xf numFmtId="0" fontId="90" fillId="17" borderId="0" applyNumberFormat="0" applyBorder="0" applyAlignment="0" applyProtection="0"/>
    <xf numFmtId="43" fontId="93" fillId="0" borderId="0" applyFont="0" applyFill="0" applyBorder="0" applyAlignment="0" applyProtection="0"/>
    <xf numFmtId="0" fontId="90" fillId="13" borderId="0" applyNumberFormat="0" applyBorder="0" applyAlignment="0" applyProtection="0"/>
    <xf numFmtId="43" fontId="93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94" fillId="5" borderId="0" applyNumberFormat="0" applyBorder="0" applyAlignment="0" applyProtection="0"/>
    <xf numFmtId="0" fontId="91" fillId="0" borderId="0"/>
    <xf numFmtId="0" fontId="91" fillId="0" borderId="0"/>
    <xf numFmtId="0" fontId="48" fillId="0" borderId="0">
      <alignment vertical="center"/>
    </xf>
    <xf numFmtId="0" fontId="6" fillId="0" borderId="0"/>
    <xf numFmtId="0" fontId="6" fillId="9" borderId="20" applyNumberFormat="0" applyFont="0" applyAlignment="0" applyProtection="0"/>
    <xf numFmtId="0" fontId="95" fillId="0" borderId="0" applyNumberFormat="0" applyFill="0" applyBorder="0" applyAlignment="0" applyProtection="0"/>
    <xf numFmtId="9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0" fontId="96" fillId="0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90" fillId="21" borderId="0" applyNumberFormat="0" applyBorder="0" applyAlignment="0" applyProtection="0"/>
    <xf numFmtId="0" fontId="90" fillId="25" borderId="0" applyNumberFormat="0" applyBorder="0" applyAlignment="0" applyProtection="0"/>
    <xf numFmtId="0" fontId="90" fillId="33" borderId="0" applyNumberFormat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6" fillId="0" borderId="0"/>
    <xf numFmtId="0" fontId="91" fillId="0" borderId="0"/>
    <xf numFmtId="0" fontId="96" fillId="0" borderId="0"/>
    <xf numFmtId="0" fontId="6" fillId="0" borderId="0"/>
    <xf numFmtId="0" fontId="6" fillId="9" borderId="20" applyNumberFormat="0" applyFont="0" applyAlignment="0" applyProtection="0"/>
    <xf numFmtId="0" fontId="6" fillId="9" borderId="20" applyNumberFormat="0" applyFont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90" fillId="21" borderId="0" applyNumberFormat="0" applyBorder="0" applyAlignment="0" applyProtection="0"/>
    <xf numFmtId="0" fontId="90" fillId="25" borderId="0" applyNumberFormat="0" applyBorder="0" applyAlignment="0" applyProtection="0"/>
    <xf numFmtId="0" fontId="90" fillId="33" borderId="0" applyNumberFormat="0" applyBorder="0" applyAlignment="0" applyProtection="0"/>
    <xf numFmtId="0" fontId="6" fillId="0" borderId="0"/>
    <xf numFmtId="0" fontId="6" fillId="9" borderId="20" applyNumberFormat="0" applyFont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7" fillId="0" borderId="0" applyNumberFormat="0" applyFill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0" borderId="0" applyNumberFormat="0" applyBorder="0" applyAlignment="0" applyProtection="0"/>
    <xf numFmtId="43" fontId="6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9" borderId="20" applyNumberFormat="0" applyFont="0" applyAlignment="0" applyProtection="0"/>
    <xf numFmtId="0" fontId="93" fillId="34" borderId="0" applyNumberFormat="0" applyBorder="0" applyAlignment="0" applyProtection="0"/>
    <xf numFmtId="0" fontId="93" fillId="35" borderId="0" applyNumberFormat="0" applyBorder="0" applyAlignment="0" applyProtection="0"/>
    <xf numFmtId="0" fontId="93" fillId="36" borderId="0" applyNumberFormat="0" applyBorder="0" applyAlignment="0" applyProtection="0"/>
    <xf numFmtId="0" fontId="93" fillId="37" borderId="0" applyNumberFormat="0" applyBorder="0" applyAlignment="0" applyProtection="0"/>
    <xf numFmtId="0" fontId="93" fillId="38" borderId="0" applyNumberFormat="0" applyBorder="0" applyAlignment="0" applyProtection="0"/>
    <xf numFmtId="0" fontId="93" fillId="39" borderId="0" applyNumberFormat="0" applyBorder="0" applyAlignment="0" applyProtection="0"/>
    <xf numFmtId="0" fontId="93" fillId="40" borderId="0" applyNumberFormat="0" applyBorder="0" applyAlignment="0" applyProtection="0"/>
    <xf numFmtId="0" fontId="93" fillId="41" borderId="0" applyNumberFormat="0" applyBorder="0" applyAlignment="0" applyProtection="0"/>
    <xf numFmtId="0" fontId="93" fillId="42" borderId="0" applyNumberFormat="0" applyBorder="0" applyAlignment="0" applyProtection="0"/>
    <xf numFmtId="0" fontId="93" fillId="37" borderId="0" applyNumberFormat="0" applyBorder="0" applyAlignment="0" applyProtection="0"/>
    <xf numFmtId="0" fontId="93" fillId="40" borderId="0" applyNumberFormat="0" applyBorder="0" applyAlignment="0" applyProtection="0"/>
    <xf numFmtId="0" fontId="93" fillId="43" borderId="0" applyNumberFormat="0" applyBorder="0" applyAlignment="0" applyProtection="0"/>
    <xf numFmtId="0" fontId="98" fillId="44" borderId="0" applyNumberFormat="0" applyBorder="0" applyAlignment="0" applyProtection="0"/>
    <xf numFmtId="0" fontId="98" fillId="41" borderId="0" applyNumberFormat="0" applyBorder="0" applyAlignment="0" applyProtection="0"/>
    <xf numFmtId="0" fontId="98" fillId="42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50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51" borderId="0" applyNumberFormat="0" applyBorder="0" applyAlignment="0" applyProtection="0"/>
    <xf numFmtId="0" fontId="99" fillId="35" borderId="0" applyNumberFormat="0" applyBorder="0" applyAlignment="0" applyProtection="0"/>
    <xf numFmtId="0" fontId="100" fillId="52" borderId="22" applyNumberFormat="0" applyAlignment="0" applyProtection="0"/>
    <xf numFmtId="0" fontId="101" fillId="53" borderId="23" applyNumberFormat="0" applyAlignment="0" applyProtection="0"/>
    <xf numFmtId="43" fontId="48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103" fillId="36" borderId="0" applyNumberFormat="0" applyBorder="0" applyAlignment="0" applyProtection="0"/>
    <xf numFmtId="0" fontId="104" fillId="0" borderId="24" applyNumberFormat="0" applyFill="0" applyAlignment="0" applyProtection="0"/>
    <xf numFmtId="0" fontId="105" fillId="0" borderId="25" applyNumberFormat="0" applyFill="0" applyAlignment="0" applyProtection="0"/>
    <xf numFmtId="0" fontId="106" fillId="0" borderId="26" applyNumberFormat="0" applyFill="0" applyAlignment="0" applyProtection="0"/>
    <xf numFmtId="0" fontId="106" fillId="0" borderId="0" applyNumberFormat="0" applyFill="0" applyBorder="0" applyAlignment="0" applyProtection="0"/>
    <xf numFmtId="0" fontId="107" fillId="39" borderId="22" applyNumberFormat="0" applyAlignment="0" applyProtection="0"/>
    <xf numFmtId="0" fontId="108" fillId="0" borderId="27" applyNumberFormat="0" applyFill="0" applyAlignment="0" applyProtection="0"/>
    <xf numFmtId="0" fontId="109" fillId="54" borderId="0" applyNumberFormat="0" applyBorder="0" applyAlignment="0" applyProtection="0"/>
    <xf numFmtId="0" fontId="48" fillId="0" borderId="0"/>
    <xf numFmtId="0" fontId="48" fillId="55" borderId="28" applyNumberFormat="0" applyFont="0" applyAlignment="0" applyProtection="0"/>
    <xf numFmtId="0" fontId="48" fillId="55" borderId="28" applyNumberFormat="0" applyFont="0" applyAlignment="0" applyProtection="0"/>
    <xf numFmtId="0" fontId="110" fillId="52" borderId="29" applyNumberFormat="0" applyAlignment="0" applyProtection="0"/>
    <xf numFmtId="9" fontId="48" fillId="0" borderId="0" applyFon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30" applyNumberFormat="0" applyFill="0" applyAlignment="0" applyProtection="0"/>
    <xf numFmtId="0" fontId="113" fillId="0" borderId="0" applyNumberFormat="0" applyFill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91" fillId="0" borderId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0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9" borderId="20" applyNumberFormat="0" applyFont="0" applyAlignment="0" applyProtection="0"/>
    <xf numFmtId="0" fontId="95" fillId="0" borderId="0" applyNumberFormat="0" applyFill="0" applyBorder="0" applyAlignment="0" applyProtection="0"/>
    <xf numFmtId="9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9" borderId="20" applyNumberFormat="0" applyFont="0" applyAlignment="0" applyProtection="0"/>
    <xf numFmtId="0" fontId="6" fillId="9" borderId="20" applyNumberFormat="0" applyFont="0" applyAlignment="0" applyProtection="0"/>
    <xf numFmtId="0" fontId="6" fillId="0" borderId="0"/>
    <xf numFmtId="0" fontId="6" fillId="9" borderId="20" applyNumberFormat="0" applyFont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0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9" borderId="20" applyNumberFormat="0" applyFont="0" applyAlignment="0" applyProtection="0"/>
    <xf numFmtId="0" fontId="107" fillId="39" borderId="39" applyNumberFormat="0" applyAlignment="0" applyProtection="0"/>
    <xf numFmtId="0" fontId="48" fillId="55" borderId="36" applyNumberFormat="0" applyFont="0" applyAlignment="0" applyProtection="0"/>
    <xf numFmtId="0" fontId="110" fillId="52" borderId="37" applyNumberFormat="0" applyAlignment="0" applyProtection="0"/>
    <xf numFmtId="0" fontId="110" fillId="52" borderId="41" applyNumberFormat="0" applyAlignment="0" applyProtection="0"/>
    <xf numFmtId="0" fontId="112" fillId="0" borderId="42" applyNumberFormat="0" applyFill="0" applyAlignment="0" applyProtection="0"/>
    <xf numFmtId="0" fontId="112" fillId="0" borderId="34" applyNumberFormat="0" applyFill="0" applyAlignment="0" applyProtection="0"/>
    <xf numFmtId="0" fontId="48" fillId="55" borderId="40" applyNumberFormat="0" applyFont="0" applyAlignment="0" applyProtection="0"/>
    <xf numFmtId="0" fontId="100" fillId="52" borderId="35" applyNumberFormat="0" applyAlignment="0" applyProtection="0"/>
    <xf numFmtId="0" fontId="48" fillId="55" borderId="32" applyNumberFormat="0" applyFont="0" applyAlignment="0" applyProtection="0"/>
    <xf numFmtId="0" fontId="112" fillId="0" borderId="38" applyNumberFormat="0" applyFill="0" applyAlignment="0" applyProtection="0"/>
    <xf numFmtId="0" fontId="107" fillId="39" borderId="31" applyNumberFormat="0" applyAlignment="0" applyProtection="0"/>
    <xf numFmtId="0" fontId="48" fillId="55" borderId="36" applyNumberFormat="0" applyFont="0" applyAlignment="0" applyProtection="0"/>
    <xf numFmtId="0" fontId="110" fillId="52" borderId="33" applyNumberFormat="0" applyAlignment="0" applyProtection="0"/>
    <xf numFmtId="0" fontId="107" fillId="39" borderId="35" applyNumberFormat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93">
    <xf numFmtId="0" fontId="0" fillId="0" borderId="0" xfId="0"/>
    <xf numFmtId="0" fontId="49" fillId="0" borderId="0" xfId="8"/>
    <xf numFmtId="0" fontId="50" fillId="0" borderId="0" xfId="8" applyFont="1"/>
    <xf numFmtId="0" fontId="55" fillId="0" borderId="0" xfId="8" applyFont="1"/>
    <xf numFmtId="0" fontId="56" fillId="0" borderId="0" xfId="8" applyFont="1"/>
    <xf numFmtId="169" fontId="57" fillId="0" borderId="0" xfId="1" applyNumberFormat="1" applyFont="1" applyFill="1" applyBorder="1" applyAlignment="1">
      <alignment horizontal="center"/>
    </xf>
    <xf numFmtId="169" fontId="57" fillId="0" borderId="0" xfId="1" applyNumberFormat="1" applyFont="1" applyFill="1" applyBorder="1" applyAlignment="1">
      <alignment horizontal="right" indent="1"/>
    </xf>
    <xf numFmtId="0" fontId="63" fillId="0" borderId="0" xfId="7" applyFont="1" applyAlignment="1">
      <alignment horizontal="left"/>
    </xf>
    <xf numFmtId="0" fontId="64" fillId="0" borderId="0" xfId="5" applyFont="1" applyAlignment="1" applyProtection="1"/>
    <xf numFmtId="14" fontId="63" fillId="0" borderId="0" xfId="7" applyNumberFormat="1" applyFont="1" applyAlignment="1">
      <alignment horizontal="left"/>
    </xf>
    <xf numFmtId="0" fontId="64" fillId="0" borderId="0" xfId="4" applyFont="1" applyAlignment="1" applyProtection="1"/>
    <xf numFmtId="0" fontId="57" fillId="0" borderId="0" xfId="7" quotePrefix="1" applyFont="1" applyAlignment="1">
      <alignment horizontal="left"/>
    </xf>
    <xf numFmtId="0" fontId="57" fillId="0" borderId="0" xfId="8" applyFont="1" applyAlignment="1">
      <alignment wrapText="1"/>
    </xf>
    <xf numFmtId="169" fontId="57" fillId="0" borderId="0" xfId="1" applyNumberFormat="1" applyFont="1" applyFill="1" applyBorder="1" applyAlignment="1">
      <alignment horizontal="right"/>
    </xf>
    <xf numFmtId="0" fontId="57" fillId="0" borderId="1" xfId="0" applyFont="1" applyBorder="1"/>
    <xf numFmtId="0" fontId="57" fillId="0" borderId="0" xfId="0" applyFont="1"/>
    <xf numFmtId="0" fontId="57" fillId="0" borderId="2" xfId="0" applyFont="1" applyBorder="1" applyAlignment="1">
      <alignment horizontal="right"/>
    </xf>
    <xf numFmtId="0" fontId="57" fillId="0" borderId="0" xfId="0" applyFont="1" applyAlignment="1">
      <alignment horizontal="center"/>
    </xf>
    <xf numFmtId="0" fontId="0" fillId="0" borderId="2" xfId="0" applyBorder="1"/>
    <xf numFmtId="0" fontId="57" fillId="0" borderId="2" xfId="0" applyFont="1" applyBorder="1" applyAlignment="1">
      <alignment horizontal="left"/>
    </xf>
    <xf numFmtId="0" fontId="57" fillId="0" borderId="0" xfId="0" applyFont="1" applyAlignment="1">
      <alignment horizontal="right"/>
    </xf>
    <xf numFmtId="16" fontId="57" fillId="0" borderId="1" xfId="0" quotePrefix="1" applyNumberFormat="1" applyFont="1" applyBorder="1"/>
    <xf numFmtId="16" fontId="57" fillId="0" borderId="1" xfId="0" applyNumberFormat="1" applyFont="1" applyBorder="1"/>
    <xf numFmtId="0" fontId="57" fillId="0" borderId="1" xfId="0" applyFont="1" applyBorder="1" applyAlignment="1">
      <alignment horizontal="center"/>
    </xf>
    <xf numFmtId="0" fontId="57" fillId="0" borderId="1" xfId="0" applyFont="1" applyBorder="1" applyAlignment="1">
      <alignment horizontal="right"/>
    </xf>
    <xf numFmtId="0" fontId="57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58" fillId="0" borderId="0" xfId="0" quotePrefix="1" applyFont="1" applyAlignment="1">
      <alignment horizontal="right"/>
    </xf>
    <xf numFmtId="164" fontId="57" fillId="0" borderId="0" xfId="1" applyNumberFormat="1" applyFont="1" applyFill="1" applyBorder="1"/>
    <xf numFmtId="164" fontId="57" fillId="0" borderId="0" xfId="1" applyNumberFormat="1" applyFont="1" applyFill="1" applyBorder="1" applyAlignment="1">
      <alignment horizontal="right"/>
    </xf>
    <xf numFmtId="0" fontId="63" fillId="0" borderId="0" xfId="0" applyFont="1"/>
    <xf numFmtId="169" fontId="57" fillId="0" borderId="0" xfId="1" quotePrefix="1" applyNumberFormat="1" applyFont="1" applyFill="1" applyBorder="1" applyAlignment="1">
      <alignment horizontal="right"/>
    </xf>
    <xf numFmtId="164" fontId="57" fillId="0" borderId="0" xfId="1" applyNumberFormat="1" applyFont="1" applyFill="1" applyBorder="1" applyAlignment="1">
      <alignment horizontal="center"/>
    </xf>
    <xf numFmtId="164" fontId="57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4" fontId="57" fillId="0" borderId="0" xfId="1" applyNumberFormat="1" applyFont="1" applyFill="1"/>
    <xf numFmtId="14" fontId="57" fillId="0" borderId="0" xfId="0" applyNumberFormat="1" applyFont="1" applyAlignment="1">
      <alignment horizontal="left"/>
    </xf>
    <xf numFmtId="3" fontId="57" fillId="0" borderId="0" xfId="1" applyNumberFormat="1" applyFont="1" applyFill="1" applyAlignment="1">
      <alignment horizontal="right" indent="1"/>
    </xf>
    <xf numFmtId="3" fontId="57" fillId="0" borderId="0" xfId="1" applyNumberFormat="1" applyFont="1" applyFill="1" applyAlignment="1">
      <alignment horizontal="center"/>
    </xf>
    <xf numFmtId="169" fontId="57" fillId="0" borderId="0" xfId="1" applyNumberFormat="1" applyFont="1" applyFill="1" applyBorder="1" applyAlignment="1">
      <alignment horizontal="right" indent="2"/>
    </xf>
    <xf numFmtId="0" fontId="59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57" fillId="0" borderId="1" xfId="1" applyNumberFormat="1" applyFont="1" applyFill="1" applyBorder="1" applyAlignment="1">
      <alignment horizontal="right"/>
    </xf>
    <xf numFmtId="16" fontId="57" fillId="0" borderId="0" xfId="0" applyNumberFormat="1" applyFont="1"/>
    <xf numFmtId="0" fontId="58" fillId="0" borderId="0" xfId="0" applyFont="1" applyAlignment="1">
      <alignment horizontal="center"/>
    </xf>
    <xf numFmtId="2" fontId="57" fillId="0" borderId="0" xfId="0" applyNumberFormat="1" applyFont="1" applyAlignment="1">
      <alignment horizontal="right" indent="2"/>
    </xf>
    <xf numFmtId="43" fontId="57" fillId="0" borderId="0" xfId="1" quotePrefix="1" applyFont="1" applyFill="1" applyBorder="1" applyAlignment="1">
      <alignment horizontal="center"/>
    </xf>
    <xf numFmtId="166" fontId="57" fillId="0" borderId="0" xfId="1" quotePrefix="1" applyNumberFormat="1" applyFont="1" applyFill="1" applyBorder="1" applyAlignment="1">
      <alignment horizontal="center"/>
    </xf>
    <xf numFmtId="43" fontId="57" fillId="0" borderId="0" xfId="1" applyFont="1" applyFill="1" applyBorder="1" applyAlignment="1">
      <alignment horizontal="center"/>
    </xf>
    <xf numFmtId="0" fontId="63" fillId="0" borderId="0" xfId="0" quotePrefix="1" applyFont="1"/>
    <xf numFmtId="0" fontId="57" fillId="0" borderId="0" xfId="0" applyFont="1" applyAlignment="1">
      <alignment horizontal="left"/>
    </xf>
    <xf numFmtId="0" fontId="57" fillId="0" borderId="0" xfId="0" applyFont="1" applyAlignment="1">
      <alignment horizontal="left" indent="1"/>
    </xf>
    <xf numFmtId="0" fontId="57" fillId="0" borderId="3" xfId="0" applyFont="1" applyBorder="1" applyAlignment="1">
      <alignment horizontal="center"/>
    </xf>
    <xf numFmtId="0" fontId="57" fillId="0" borderId="1" xfId="0" applyFont="1" applyBorder="1" applyAlignment="1">
      <alignment horizontal="left"/>
    </xf>
    <xf numFmtId="0" fontId="58" fillId="0" borderId="3" xfId="0" quotePrefix="1" applyFont="1" applyBorder="1"/>
    <xf numFmtId="0" fontId="58" fillId="0" borderId="3" xfId="0" applyFont="1" applyBorder="1"/>
    <xf numFmtId="2" fontId="57" fillId="0" borderId="0" xfId="0" applyNumberFormat="1" applyFont="1" applyAlignment="1">
      <alignment horizontal="center"/>
    </xf>
    <xf numFmtId="43" fontId="57" fillId="0" borderId="0" xfId="0" applyNumberFormat="1" applyFont="1"/>
    <xf numFmtId="0" fontId="52" fillId="0" borderId="0" xfId="0" applyFont="1"/>
    <xf numFmtId="2" fontId="0" fillId="0" borderId="0" xfId="0" applyNumberFormat="1"/>
    <xf numFmtId="165" fontId="57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61" fillId="0" borderId="0" xfId="0" applyFont="1" applyAlignment="1">
      <alignment vertical="center"/>
    </xf>
    <xf numFmtId="2" fontId="57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57" fillId="0" borderId="3" xfId="0" applyFont="1" applyBorder="1"/>
    <xf numFmtId="165" fontId="57" fillId="0" borderId="0" xfId="1" applyNumberFormat="1" applyFont="1" applyFill="1"/>
    <xf numFmtId="37" fontId="57" fillId="0" borderId="0" xfId="1" applyNumberFormat="1" applyFont="1" applyFill="1" applyBorder="1" applyAlignment="1">
      <alignment horizontal="center"/>
    </xf>
    <xf numFmtId="165" fontId="57" fillId="0" borderId="0" xfId="1" applyNumberFormat="1" applyFont="1" applyFill="1" applyBorder="1"/>
    <xf numFmtId="9" fontId="57" fillId="0" borderId="0" xfId="12" applyFont="1" applyFill="1"/>
    <xf numFmtId="0" fontId="58" fillId="0" borderId="4" xfId="0" applyFont="1" applyBorder="1" applyAlignment="1">
      <alignment horizontal="center"/>
    </xf>
    <xf numFmtId="14" fontId="57" fillId="0" borderId="0" xfId="0" applyNumberFormat="1" applyFont="1" applyAlignment="1">
      <alignment horizontal="right" indent="1"/>
    </xf>
    <xf numFmtId="0" fontId="57" fillId="0" borderId="0" xfId="0" applyFont="1" applyAlignment="1">
      <alignment vertical="center"/>
    </xf>
    <xf numFmtId="0" fontId="57" fillId="0" borderId="0" xfId="0" applyFont="1" applyAlignment="1">
      <alignment vertical="center" wrapText="1"/>
    </xf>
    <xf numFmtId="169" fontId="57" fillId="0" borderId="0" xfId="1" applyNumberFormat="1" applyFont="1" applyFill="1" applyAlignment="1">
      <alignment horizontal="center"/>
    </xf>
    <xf numFmtId="0" fontId="59" fillId="0" borderId="3" xfId="0" applyFont="1" applyBorder="1"/>
    <xf numFmtId="164" fontId="57" fillId="0" borderId="3" xfId="0" applyNumberFormat="1" applyFont="1" applyBorder="1"/>
    <xf numFmtId="171" fontId="0" fillId="0" borderId="0" xfId="1" applyNumberFormat="1" applyFont="1" applyFill="1" applyBorder="1"/>
    <xf numFmtId="0" fontId="48" fillId="0" borderId="0" xfId="8" applyFont="1"/>
    <xf numFmtId="0" fontId="48" fillId="0" borderId="0" xfId="0" applyFont="1"/>
    <xf numFmtId="4" fontId="66" fillId="0" borderId="0" xfId="0" applyNumberFormat="1" applyFont="1"/>
    <xf numFmtId="172" fontId="52" fillId="0" borderId="0" xfId="12" applyNumberFormat="1" applyFont="1" applyFill="1"/>
    <xf numFmtId="4" fontId="0" fillId="0" borderId="0" xfId="0" applyNumberFormat="1"/>
    <xf numFmtId="173" fontId="66" fillId="0" borderId="0" xfId="0" applyNumberFormat="1" applyFont="1"/>
    <xf numFmtId="164" fontId="57" fillId="2" borderId="0" xfId="1" applyNumberFormat="1" applyFont="1" applyFill="1" applyBorder="1" applyAlignment="1">
      <alignment horizontal="center"/>
    </xf>
    <xf numFmtId="2" fontId="65" fillId="0" borderId="0" xfId="0" applyNumberFormat="1" applyFont="1" applyAlignment="1">
      <alignment horizontal="center"/>
    </xf>
    <xf numFmtId="37" fontId="57" fillId="0" borderId="0" xfId="0" applyNumberFormat="1" applyFont="1" applyAlignment="1">
      <alignment vertical="center" wrapText="1"/>
    </xf>
    <xf numFmtId="172" fontId="0" fillId="0" borderId="0" xfId="12" applyNumberFormat="1" applyFont="1"/>
    <xf numFmtId="2" fontId="65" fillId="0" borderId="0" xfId="0" applyNumberFormat="1" applyFont="1" applyAlignment="1">
      <alignment horizontal="right" indent="2"/>
    </xf>
    <xf numFmtId="9" fontId="0" fillId="0" borderId="0" xfId="12" applyFont="1"/>
    <xf numFmtId="3" fontId="65" fillId="0" borderId="0" xfId="1" applyNumberFormat="1" applyFont="1" applyFill="1" applyBorder="1" applyAlignment="1">
      <alignment horizontal="right"/>
    </xf>
    <xf numFmtId="3" fontId="48" fillId="0" borderId="0" xfId="0" applyNumberFormat="1" applyFont="1"/>
    <xf numFmtId="3" fontId="57" fillId="0" borderId="0" xfId="1" quotePrefix="1" applyNumberFormat="1" applyFont="1" applyFill="1" applyBorder="1" applyAlignment="1">
      <alignment horizontal="right"/>
    </xf>
    <xf numFmtId="174" fontId="0" fillId="0" borderId="0" xfId="0" applyNumberFormat="1"/>
    <xf numFmtId="175" fontId="0" fillId="0" borderId="0" xfId="0" applyNumberFormat="1"/>
    <xf numFmtId="176" fontId="0" fillId="0" borderId="0" xfId="0" applyNumberFormat="1"/>
    <xf numFmtId="169" fontId="57" fillId="0" borderId="0" xfId="1" applyNumberFormat="1" applyFont="1" applyAlignment="1">
      <alignment horizontal="right" indent="1"/>
    </xf>
    <xf numFmtId="167" fontId="57" fillId="0" borderId="0" xfId="0" applyNumberFormat="1" applyFont="1"/>
    <xf numFmtId="169" fontId="65" fillId="0" borderId="0" xfId="1" applyNumberFormat="1" applyFont="1" applyFill="1" applyBorder="1" applyAlignment="1">
      <alignment horizontal="right" indent="1"/>
    </xf>
    <xf numFmtId="0" fontId="67" fillId="0" borderId="0" xfId="0" applyFont="1"/>
    <xf numFmtId="169" fontId="57" fillId="0" borderId="0" xfId="1" applyNumberFormat="1" applyFont="1" applyFill="1" applyAlignment="1">
      <alignment horizontal="right" indent="1"/>
    </xf>
    <xf numFmtId="164" fontId="65" fillId="0" borderId="0" xfId="1" applyNumberFormat="1" applyFont="1"/>
    <xf numFmtId="169" fontId="57" fillId="2" borderId="0" xfId="1" applyNumberFormat="1" applyFont="1" applyFill="1" applyBorder="1" applyAlignment="1">
      <alignment horizontal="right" indent="2"/>
    </xf>
    <xf numFmtId="169" fontId="57" fillId="2" borderId="0" xfId="1" applyNumberFormat="1" applyFont="1" applyFill="1" applyBorder="1" applyAlignment="1">
      <alignment horizontal="right" indent="1"/>
    </xf>
    <xf numFmtId="169" fontId="68" fillId="0" borderId="0" xfId="1" applyNumberFormat="1" applyFont="1" applyFill="1" applyBorder="1" applyAlignment="1">
      <alignment horizontal="right"/>
    </xf>
    <xf numFmtId="169" fontId="65" fillId="0" borderId="0" xfId="1" applyNumberFormat="1" applyFont="1" applyFill="1" applyBorder="1" applyAlignment="1">
      <alignment horizontal="right"/>
    </xf>
    <xf numFmtId="37" fontId="0" fillId="0" borderId="0" xfId="0" applyNumberFormat="1"/>
    <xf numFmtId="43" fontId="57" fillId="0" borderId="3" xfId="0" applyNumberFormat="1" applyFont="1" applyBorder="1"/>
    <xf numFmtId="0" fontId="0" fillId="0" borderId="3" xfId="0" applyBorder="1"/>
    <xf numFmtId="168" fontId="57" fillId="0" borderId="3" xfId="0" applyNumberFormat="1" applyFont="1" applyBorder="1"/>
    <xf numFmtId="0" fontId="58" fillId="0" borderId="3" xfId="0" quotePrefix="1" applyFont="1" applyBorder="1" applyAlignment="1">
      <alignment horizontal="center"/>
    </xf>
    <xf numFmtId="9" fontId="0" fillId="0" borderId="0" xfId="12" applyFont="1" applyFill="1"/>
    <xf numFmtId="2" fontId="67" fillId="0" borderId="0" xfId="0" applyNumberFormat="1" applyFont="1"/>
    <xf numFmtId="177" fontId="0" fillId="0" borderId="0" xfId="0" applyNumberFormat="1"/>
    <xf numFmtId="178" fontId="0" fillId="0" borderId="0" xfId="0" applyNumberFormat="1"/>
    <xf numFmtId="167" fontId="57" fillId="0" borderId="0" xfId="0" applyNumberFormat="1" applyFont="1" applyAlignment="1">
      <alignment horizontal="center"/>
    </xf>
    <xf numFmtId="165" fontId="57" fillId="0" borderId="0" xfId="1" applyNumberFormat="1" applyFont="1" applyFill="1" applyAlignment="1">
      <alignment horizontal="left"/>
    </xf>
    <xf numFmtId="165" fontId="57" fillId="0" borderId="0" xfId="1" applyNumberFormat="1" applyFont="1" applyFill="1" applyAlignment="1">
      <alignment horizontal="center"/>
    </xf>
    <xf numFmtId="3" fontId="57" fillId="0" borderId="0" xfId="1" applyNumberFormat="1" applyFont="1" applyFill="1" applyBorder="1" applyAlignment="1">
      <alignment horizontal="right" indent="1"/>
    </xf>
    <xf numFmtId="3" fontId="57" fillId="0" borderId="0" xfId="1" applyNumberFormat="1" applyFont="1" applyFill="1" applyAlignment="1">
      <alignment horizontal="right" indent="2"/>
    </xf>
    <xf numFmtId="3" fontId="66" fillId="0" borderId="0" xfId="0" applyNumberFormat="1" applyFont="1"/>
    <xf numFmtId="173" fontId="0" fillId="0" borderId="0" xfId="0" applyNumberFormat="1"/>
    <xf numFmtId="3" fontId="65" fillId="0" borderId="0" xfId="1" applyNumberFormat="1" applyFont="1" applyFill="1" applyAlignment="1">
      <alignment horizontal="right" indent="1"/>
    </xf>
    <xf numFmtId="3" fontId="57" fillId="0" borderId="0" xfId="1" applyNumberFormat="1" applyFont="1" applyFill="1" applyAlignment="1">
      <alignment horizontal="right"/>
    </xf>
    <xf numFmtId="37" fontId="57" fillId="0" borderId="0" xfId="1" applyNumberFormat="1" applyFont="1" applyFill="1" applyBorder="1" applyAlignment="1">
      <alignment horizontal="right" indent="2"/>
    </xf>
    <xf numFmtId="37" fontId="57" fillId="0" borderId="0" xfId="1" applyNumberFormat="1" applyFont="1" applyFill="1" applyBorder="1" applyAlignment="1">
      <alignment horizontal="right" indent="1"/>
    </xf>
    <xf numFmtId="37" fontId="57" fillId="0" borderId="0" xfId="1" applyNumberFormat="1" applyFont="1" applyFill="1" applyAlignment="1">
      <alignment horizontal="center"/>
    </xf>
    <xf numFmtId="37" fontId="57" fillId="0" borderId="0" xfId="0" applyNumberFormat="1" applyFont="1"/>
    <xf numFmtId="1" fontId="57" fillId="0" borderId="0" xfId="0" applyNumberFormat="1" applyFont="1" applyAlignment="1">
      <alignment horizontal="center"/>
    </xf>
    <xf numFmtId="170" fontId="57" fillId="0" borderId="0" xfId="0" applyNumberFormat="1" applyFont="1"/>
    <xf numFmtId="3" fontId="57" fillId="0" borderId="0" xfId="1" applyNumberFormat="1" applyFont="1" applyAlignment="1">
      <alignment horizontal="right" indent="1"/>
    </xf>
    <xf numFmtId="165" fontId="0" fillId="0" borderId="0" xfId="1" applyNumberFormat="1" applyFont="1" applyAlignment="1">
      <alignment horizontal="left" indent="1"/>
    </xf>
    <xf numFmtId="0" fontId="63" fillId="0" borderId="1" xfId="20" applyFont="1" applyBorder="1"/>
    <xf numFmtId="0" fontId="57" fillId="0" borderId="0" xfId="20" applyFont="1"/>
    <xf numFmtId="0" fontId="57" fillId="0" borderId="0" xfId="20" applyFont="1" applyAlignment="1">
      <alignment vertical="center"/>
    </xf>
    <xf numFmtId="41" fontId="65" fillId="0" borderId="0" xfId="20" applyNumberFormat="1" applyFont="1"/>
    <xf numFmtId="17" fontId="57" fillId="0" borderId="0" xfId="20" applyNumberFormat="1" applyFont="1" applyAlignment="1">
      <alignment horizontal="left"/>
    </xf>
    <xf numFmtId="2" fontId="57" fillId="2" borderId="0" xfId="0" applyNumberFormat="1" applyFont="1" applyFill="1" applyAlignment="1">
      <alignment horizontal="right" indent="2"/>
    </xf>
    <xf numFmtId="0" fontId="57" fillId="2" borderId="0" xfId="0" applyFont="1" applyFill="1"/>
    <xf numFmtId="0" fontId="0" fillId="2" borderId="0" xfId="0" applyFill="1"/>
    <xf numFmtId="2" fontId="48" fillId="0" borderId="0" xfId="0" applyNumberFormat="1" applyFont="1"/>
    <xf numFmtId="0" fontId="57" fillId="0" borderId="1" xfId="20" applyFont="1" applyBorder="1"/>
    <xf numFmtId="167" fontId="57" fillId="0" borderId="0" xfId="20" applyNumberFormat="1" applyFont="1"/>
    <xf numFmtId="164" fontId="65" fillId="0" borderId="0" xfId="1" applyNumberFormat="1" applyFont="1" applyFill="1"/>
    <xf numFmtId="164" fontId="65" fillId="0" borderId="0" xfId="1" applyNumberFormat="1" applyFont="1" applyFill="1" applyAlignment="1">
      <alignment horizontal="right"/>
    </xf>
    <xf numFmtId="164" fontId="57" fillId="0" borderId="0" xfId="1" applyNumberFormat="1" applyFont="1" applyFill="1" applyBorder="1" applyAlignment="1">
      <alignment horizontal="right" indent="1"/>
    </xf>
    <xf numFmtId="172" fontId="57" fillId="0" borderId="0" xfId="12" applyNumberFormat="1" applyFont="1" applyFill="1" applyBorder="1"/>
    <xf numFmtId="2" fontId="57" fillId="0" borderId="0" xfId="12" applyNumberFormat="1" applyFont="1" applyFill="1" applyBorder="1"/>
    <xf numFmtId="0" fontId="63" fillId="0" borderId="1" xfId="20" applyFont="1" applyBorder="1" applyAlignment="1">
      <alignment wrapText="1"/>
    </xf>
    <xf numFmtId="167" fontId="114" fillId="0" borderId="0" xfId="0" applyNumberFormat="1" applyFont="1"/>
    <xf numFmtId="0" fontId="116" fillId="0" borderId="1" xfId="387" applyFont="1" applyBorder="1" applyAlignment="1">
      <alignment horizontal="center" wrapText="1"/>
    </xf>
    <xf numFmtId="0" fontId="115" fillId="0" borderId="0" xfId="387" applyFont="1"/>
    <xf numFmtId="179" fontId="48" fillId="0" borderId="0" xfId="20" applyNumberFormat="1"/>
    <xf numFmtId="1" fontId="115" fillId="0" borderId="0" xfId="387" applyNumberFormat="1" applyFont="1"/>
    <xf numFmtId="1" fontId="115" fillId="0" borderId="0" xfId="12" applyNumberFormat="1" applyFont="1" applyFill="1"/>
    <xf numFmtId="17" fontId="48" fillId="0" borderId="0" xfId="20" applyNumberFormat="1" applyAlignment="1">
      <alignment horizontal="left"/>
    </xf>
    <xf numFmtId="9" fontId="115" fillId="0" borderId="0" xfId="12" applyFont="1"/>
    <xf numFmtId="167" fontId="48" fillId="0" borderId="0" xfId="0" applyNumberFormat="1" applyFont="1"/>
    <xf numFmtId="17" fontId="117" fillId="0" borderId="0" xfId="20" applyNumberFormat="1" applyFont="1" applyAlignment="1">
      <alignment horizontal="left"/>
    </xf>
    <xf numFmtId="167" fontId="117" fillId="0" borderId="0" xfId="20" applyNumberFormat="1" applyFont="1"/>
    <xf numFmtId="167" fontId="117" fillId="0" borderId="0" xfId="1" applyNumberFormat="1" applyFont="1"/>
    <xf numFmtId="0" fontId="117" fillId="0" borderId="0" xfId="0" applyFont="1"/>
    <xf numFmtId="167" fontId="117" fillId="0" borderId="0" xfId="0" applyNumberFormat="1" applyFont="1"/>
    <xf numFmtId="172" fontId="115" fillId="0" borderId="0" xfId="12" applyNumberFormat="1" applyFont="1"/>
    <xf numFmtId="0" fontId="89" fillId="0" borderId="43" xfId="20" applyFont="1" applyBorder="1"/>
    <xf numFmtId="0" fontId="116" fillId="0" borderId="0" xfId="387" applyFont="1"/>
    <xf numFmtId="165" fontId="0" fillId="0" borderId="0" xfId="0" applyNumberFormat="1"/>
    <xf numFmtId="165" fontId="65" fillId="0" borderId="0" xfId="1" applyNumberFormat="1" applyFont="1" applyFill="1" applyAlignment="1">
      <alignment horizontal="center"/>
    </xf>
    <xf numFmtId="3" fontId="0" fillId="0" borderId="0" xfId="0" applyNumberFormat="1"/>
    <xf numFmtId="172" fontId="0" fillId="0" borderId="0" xfId="12" applyNumberFormat="1" applyFont="1" applyFill="1"/>
    <xf numFmtId="10" fontId="0" fillId="0" borderId="0" xfId="12" applyNumberFormat="1" applyFont="1" applyFill="1"/>
    <xf numFmtId="37" fontId="57" fillId="0" borderId="1" xfId="1" applyNumberFormat="1" applyFont="1" applyFill="1" applyBorder="1" applyAlignment="1">
      <alignment horizontal="center"/>
    </xf>
    <xf numFmtId="37" fontId="57" fillId="0" borderId="1" xfId="1" applyNumberFormat="1" applyFont="1" applyFill="1" applyBorder="1" applyAlignment="1">
      <alignment horizontal="right" indent="2"/>
    </xf>
    <xf numFmtId="165" fontId="57" fillId="0" borderId="1" xfId="1" applyNumberFormat="1" applyFont="1" applyFill="1" applyBorder="1"/>
    <xf numFmtId="37" fontId="57" fillId="0" borderId="1" xfId="1" applyNumberFormat="1" applyFont="1" applyFill="1" applyBorder="1" applyAlignment="1">
      <alignment horizontal="right" indent="1"/>
    </xf>
    <xf numFmtId="1" fontId="57" fillId="0" borderId="1" xfId="0" applyNumberFormat="1" applyFont="1" applyBorder="1" applyAlignment="1">
      <alignment horizontal="center"/>
    </xf>
    <xf numFmtId="169" fontId="65" fillId="0" borderId="0" xfId="1" applyNumberFormat="1" applyFont="1" applyFill="1" applyAlignment="1">
      <alignment horizontal="right" indent="1"/>
    </xf>
    <xf numFmtId="165" fontId="57" fillId="0" borderId="0" xfId="20" applyNumberFormat="1" applyFont="1" applyAlignment="1">
      <alignment horizontal="left"/>
    </xf>
    <xf numFmtId="165" fontId="0" fillId="0" borderId="0" xfId="1" applyNumberFormat="1" applyFont="1" applyFill="1"/>
    <xf numFmtId="165" fontId="65" fillId="0" borderId="0" xfId="1" applyNumberFormat="1" applyFont="1" applyFill="1"/>
    <xf numFmtId="0" fontId="57" fillId="0" borderId="2" xfId="0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0" fontId="58" fillId="0" borderId="2" xfId="0" quotePrefix="1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0" fontId="58" fillId="0" borderId="5" xfId="0" quotePrefix="1" applyFont="1" applyBorder="1" applyAlignment="1">
      <alignment horizontal="center"/>
    </xf>
    <xf numFmtId="0" fontId="58" fillId="0" borderId="6" xfId="0" applyFont="1" applyBorder="1" applyAlignment="1">
      <alignment horizontal="center"/>
    </xf>
    <xf numFmtId="0" fontId="58" fillId="0" borderId="5" xfId="0" applyFont="1" applyBorder="1" applyAlignment="1">
      <alignment horizontal="center"/>
    </xf>
  </cellXfs>
  <cellStyles count="389">
    <cellStyle name="20% - Accent1" xfId="114" builtinId="30" customBuiltin="1"/>
    <cellStyle name="20% - Accent1 2" xfId="147" xr:uid="{94824244-2101-4E75-A751-7E1198CB157D}"/>
    <cellStyle name="20% - Accent1 2 2" xfId="175" xr:uid="{808E7508-1BBA-4B9C-A53F-432B8933B411}"/>
    <cellStyle name="20% - Accent1 2 2 2" xfId="322" xr:uid="{CBBD6C44-D91F-4F39-AF67-A26598412FDF}"/>
    <cellStyle name="20% - Accent1 2 3" xfId="243" xr:uid="{DFAACE0A-DDD2-4424-B740-BFF9BF44F6DE}"/>
    <cellStyle name="20% - Accent1 2 3 2" xfId="356" xr:uid="{89AF0E59-C980-4D73-AD5F-E64685BF5A39}"/>
    <cellStyle name="20% - Accent1 2 4" xfId="311" xr:uid="{83F36799-25DE-43C1-8B40-C38E43B06862}"/>
    <cellStyle name="20% - Accent1 3" xfId="176" xr:uid="{32B0355E-6EDE-4BFF-8288-D97DAF58BA3D}"/>
    <cellStyle name="20% - Accent1 3 2" xfId="323" xr:uid="{8B8A3324-DDA2-4DDC-A40B-277C58DF2E59}"/>
    <cellStyle name="20% - Accent1 4" xfId="252" xr:uid="{7CEC33F6-0A54-4986-816D-B5CD86F3443E}"/>
    <cellStyle name="20% - Accent1 5" xfId="298" xr:uid="{81C6ED3D-ADA8-4DD1-AB90-65CBC92DDD4E}"/>
    <cellStyle name="20% - Accent2" xfId="118" builtinId="34" customBuiltin="1"/>
    <cellStyle name="20% - Accent2 2" xfId="149" xr:uid="{3A6892BC-603E-44F6-A4CD-BDB954335613}"/>
    <cellStyle name="20% - Accent2 2 2" xfId="177" xr:uid="{A4E0B261-34A6-43CE-86A6-B3FE20F6C2EE}"/>
    <cellStyle name="20% - Accent2 2 2 2" xfId="324" xr:uid="{F6DF797F-3B58-4E26-A117-90F2DC8C6BE8}"/>
    <cellStyle name="20% - Accent2 2 3" xfId="244" xr:uid="{50C5342E-7F4E-4DA0-8BB2-B9DC64C75676}"/>
    <cellStyle name="20% - Accent2 2 3 2" xfId="357" xr:uid="{A9E457CE-E606-46C1-BAD6-9F04036F9737}"/>
    <cellStyle name="20% - Accent2 2 4" xfId="312" xr:uid="{A2CC103D-9803-49B7-AFE1-C11F6B1DCEA6}"/>
    <cellStyle name="20% - Accent2 3" xfId="178" xr:uid="{6C171EA5-10E1-4380-B85D-BD9AB947C93B}"/>
    <cellStyle name="20% - Accent2 3 2" xfId="325" xr:uid="{8D668A50-5F39-4645-A90D-54BF2D4958AE}"/>
    <cellStyle name="20% - Accent2 4" xfId="253" xr:uid="{237A4AE0-05DB-4BBC-9FC6-21F8CB9985F9}"/>
    <cellStyle name="20% - Accent2 5" xfId="300" xr:uid="{C5ABCD5F-0592-416F-9073-4C31AB0B7D76}"/>
    <cellStyle name="20% - Accent3" xfId="122" builtinId="38" customBuiltin="1"/>
    <cellStyle name="20% - Accent3 2" xfId="148" xr:uid="{26D9BC36-F860-4DB0-92BA-5CCE7700904E}"/>
    <cellStyle name="20% - Accent3 2 2" xfId="179" xr:uid="{C6940E12-74F9-4A68-A3FA-9C0A9AF8C855}"/>
    <cellStyle name="20% - Accent3 2 2 2" xfId="326" xr:uid="{00219586-1666-4D5E-9C8F-7927F6CFFF8D}"/>
    <cellStyle name="20% - Accent3 2 3" xfId="245" xr:uid="{2125FD0B-95F0-4249-A4C0-85785EC5E189}"/>
    <cellStyle name="20% - Accent3 2 3 2" xfId="358" xr:uid="{A7994EDF-6D4F-4DD2-AA80-E7ECD9EC5D2A}"/>
    <cellStyle name="20% - Accent3 2 4" xfId="313" xr:uid="{A392E008-3993-4913-9A74-2289F3F558F7}"/>
    <cellStyle name="20% - Accent3 3" xfId="180" xr:uid="{AE82C847-78D6-4B97-8441-AA51646614B2}"/>
    <cellStyle name="20% - Accent3 3 2" xfId="327" xr:uid="{E4842C73-CF9A-46A7-A8D4-C720BAFECC2A}"/>
    <cellStyle name="20% - Accent3 4" xfId="254" xr:uid="{40569062-D533-4274-94AE-C7B495BBBAF4}"/>
    <cellStyle name="20% - Accent3 5" xfId="302" xr:uid="{75FC9417-6D6F-4BEC-BBB5-1652C952A4F2}"/>
    <cellStyle name="20% - Accent4" xfId="126" builtinId="42" customBuiltin="1"/>
    <cellStyle name="20% - Accent4 2" xfId="146" xr:uid="{EFF20614-19C6-4818-8163-E651A637CA6E}"/>
    <cellStyle name="20% - Accent4 2 2" xfId="181" xr:uid="{C477F807-EE2A-4236-A0C5-E1401A15E84A}"/>
    <cellStyle name="20% - Accent4 2 2 2" xfId="328" xr:uid="{1D429CA1-7B52-4EEB-B7A7-4DE1398B029E}"/>
    <cellStyle name="20% - Accent4 2 3" xfId="246" xr:uid="{838D636A-4D49-422F-90B8-C14A3182ECA3}"/>
    <cellStyle name="20% - Accent4 2 3 2" xfId="359" xr:uid="{2D26635D-7002-48A3-80B5-01782ECEA560}"/>
    <cellStyle name="20% - Accent4 2 4" xfId="314" xr:uid="{413645D3-3617-43F7-8ECE-552A73C745C5}"/>
    <cellStyle name="20% - Accent4 3" xfId="182" xr:uid="{77FDE77B-07DD-4466-9C33-45F5E347F898}"/>
    <cellStyle name="20% - Accent4 3 2" xfId="329" xr:uid="{930BA819-24FD-4A10-BCCB-54EEAB1CF8E2}"/>
    <cellStyle name="20% - Accent4 4" xfId="255" xr:uid="{334DB917-1D99-4C5B-BA46-F86B4E671325}"/>
    <cellStyle name="20% - Accent4 5" xfId="304" xr:uid="{2A33F46A-D1F4-4B8C-A158-560DBF1B8215}"/>
    <cellStyle name="20% - Accent5" xfId="130" builtinId="46" customBuiltin="1"/>
    <cellStyle name="20% - Accent5 2" xfId="183" xr:uid="{657F8E32-39A3-4638-8EC1-DDD924C4D6B4}"/>
    <cellStyle name="20% - Accent5 2 2" xfId="330" xr:uid="{3FA1D9DA-02FB-410D-8295-71E299A736BC}"/>
    <cellStyle name="20% - Accent5 3" xfId="236" xr:uid="{40BC7363-BC63-477D-A10D-0F2E3F55AA99}"/>
    <cellStyle name="20% - Accent5 3 2" xfId="350" xr:uid="{8732B83C-2480-4354-8CF6-248EE2B9ADCC}"/>
    <cellStyle name="20% - Accent5 4" xfId="256" xr:uid="{51945EF0-DD1C-4DB0-B69C-82333019E54F}"/>
    <cellStyle name="20% - Accent5 5" xfId="306" xr:uid="{546C1E55-CAAA-4E78-BCC7-72F62F6CC03E}"/>
    <cellStyle name="20% - Accent6" xfId="134" builtinId="50" customBuiltin="1"/>
    <cellStyle name="20% - Accent6 2" xfId="184" xr:uid="{278BDC6A-6C88-4EB1-B39B-C6F05663AE81}"/>
    <cellStyle name="20% - Accent6 2 2" xfId="331" xr:uid="{A9B5AC6F-DB0E-48AF-9F7B-76BCEE23EE81}"/>
    <cellStyle name="20% - Accent6 3" xfId="238" xr:uid="{7DBFE8B8-91F0-4793-ABE2-D608172D3176}"/>
    <cellStyle name="20% - Accent6 3 2" xfId="352" xr:uid="{A0B804D4-E275-4465-9F36-8E5FDA8D4B68}"/>
    <cellStyle name="20% - Accent6 4" xfId="257" xr:uid="{B7EE85F8-3FF2-474C-BBAE-44ACD6D57C35}"/>
    <cellStyle name="20% - Accent6 5" xfId="308" xr:uid="{68BBBA63-83F4-44A7-B274-B556A530E939}"/>
    <cellStyle name="40% - Accent1" xfId="115" builtinId="31" customBuiltin="1"/>
    <cellStyle name="40% - Accent1 2" xfId="185" xr:uid="{D0E7E168-7A74-4F97-8D96-02A961818767}"/>
    <cellStyle name="40% - Accent1 2 2" xfId="332" xr:uid="{71A8CAB3-FD14-404B-89D2-ECAE436DDA9C}"/>
    <cellStyle name="40% - Accent1 3" xfId="233" xr:uid="{8C33CEFE-CC5C-41A1-839B-2AAF91F0C1D8}"/>
    <cellStyle name="40% - Accent1 3 2" xfId="347" xr:uid="{5ED618F1-0BEC-46B3-A47C-4FA55A325B90}"/>
    <cellStyle name="40% - Accent1 4" xfId="258" xr:uid="{8B777513-D1B3-4C8B-8CE8-8107E98F2BC1}"/>
    <cellStyle name="40% - Accent1 5" xfId="299" xr:uid="{7827FBB3-A345-4F9A-88F9-27F0AB5A21E0}"/>
    <cellStyle name="40% - Accent2" xfId="119" builtinId="35" customBuiltin="1"/>
    <cellStyle name="40% - Accent2 2" xfId="186" xr:uid="{754258B4-C612-4CDF-96F2-58818E8F97EA}"/>
    <cellStyle name="40% - Accent2 2 2" xfId="333" xr:uid="{05C021A2-4D31-4E37-BD99-BF629CFF9D43}"/>
    <cellStyle name="40% - Accent2 3" xfId="234" xr:uid="{B4CFA444-0118-42F0-9897-949B6223DBF9}"/>
    <cellStyle name="40% - Accent2 3 2" xfId="348" xr:uid="{F3A1CBFD-6F73-46AD-AB1A-D32E4FD21EA8}"/>
    <cellStyle name="40% - Accent2 4" xfId="259" xr:uid="{549F399D-1062-428D-9AC8-FBC8557D9F48}"/>
    <cellStyle name="40% - Accent2 5" xfId="301" xr:uid="{67B23B7D-1D29-42DA-970E-0A43CCBCC567}"/>
    <cellStyle name="40% - Accent3" xfId="123" builtinId="39" customBuiltin="1"/>
    <cellStyle name="40% - Accent3 2" xfId="150" xr:uid="{32E3F91A-ABD0-4825-9502-F257791BA671}"/>
    <cellStyle name="40% - Accent3 2 2" xfId="187" xr:uid="{23F5E177-8A1C-45E2-8843-FEBAA6B62089}"/>
    <cellStyle name="40% - Accent3 2 2 2" xfId="334" xr:uid="{DA7CAD89-95C6-412E-8603-43185A20AD10}"/>
    <cellStyle name="40% - Accent3 2 3" xfId="247" xr:uid="{A2DEB99B-97E6-4EF4-9FD3-29FEFC420526}"/>
    <cellStyle name="40% - Accent3 2 3 2" xfId="360" xr:uid="{02EDD4DA-104B-4770-ABD1-B23BB75CFE57}"/>
    <cellStyle name="40% - Accent3 2 4" xfId="315" xr:uid="{50109117-B1D7-416F-85D2-1905AC7D5D35}"/>
    <cellStyle name="40% - Accent3 3" xfId="188" xr:uid="{9C3CF690-7980-4ECA-8F06-921AB199361D}"/>
    <cellStyle name="40% - Accent3 3 2" xfId="335" xr:uid="{CEBB930C-DF9D-4C47-895D-3C9ED9C9EAA8}"/>
    <cellStyle name="40% - Accent3 4" xfId="260" xr:uid="{80304610-2D8E-4B30-B34D-D8A71CE05920}"/>
    <cellStyle name="40% - Accent3 5" xfId="303" xr:uid="{199ED734-CD86-4C36-AE44-313B54D2560E}"/>
    <cellStyle name="40% - Accent4" xfId="127" builtinId="43" customBuiltin="1"/>
    <cellStyle name="40% - Accent4 2" xfId="189" xr:uid="{2FDE2BFA-4A19-49AA-B1A0-E907432AB3E7}"/>
    <cellStyle name="40% - Accent4 2 2" xfId="336" xr:uid="{5D7CBC29-F770-4205-B1E3-CF1690CEA8CD}"/>
    <cellStyle name="40% - Accent4 3" xfId="235" xr:uid="{22417DB5-E2A1-4D00-B201-B53B427D4D20}"/>
    <cellStyle name="40% - Accent4 3 2" xfId="349" xr:uid="{9A1C5949-45A2-4555-9F6D-FB14F3F248CA}"/>
    <cellStyle name="40% - Accent4 4" xfId="261" xr:uid="{4C8A0805-8AA3-4DB1-98CB-F31F9359EDB0}"/>
    <cellStyle name="40% - Accent4 5" xfId="305" xr:uid="{4B251191-154A-40E7-A5B0-F5FE257BE24F}"/>
    <cellStyle name="40% - Accent5" xfId="131" builtinId="47" customBuiltin="1"/>
    <cellStyle name="40% - Accent5 2" xfId="190" xr:uid="{A1650198-03FA-42BF-9E33-D1C11CEA9719}"/>
    <cellStyle name="40% - Accent5 2 2" xfId="337" xr:uid="{83A0FD24-38C0-4A5B-B7FF-ADCE2F91F758}"/>
    <cellStyle name="40% - Accent5 3" xfId="237" xr:uid="{F38E99A5-6F6D-4DC6-BAEE-A13B30749A74}"/>
    <cellStyle name="40% - Accent5 3 2" xfId="351" xr:uid="{48002B42-4D23-4F44-847A-76BC1AF48B43}"/>
    <cellStyle name="40% - Accent5 4" xfId="262" xr:uid="{B47CD729-C3F7-4D30-A7E7-18FCFB9384B7}"/>
    <cellStyle name="40% - Accent5 5" xfId="307" xr:uid="{BF2053DF-5B31-4B9D-B385-CCAD6C7690C1}"/>
    <cellStyle name="40% - Accent6" xfId="135" builtinId="51" customBuiltin="1"/>
    <cellStyle name="40% - Accent6 2" xfId="191" xr:uid="{E77D6085-764B-4A64-B2FF-0B45BA676D4B}"/>
    <cellStyle name="40% - Accent6 2 2" xfId="338" xr:uid="{BF7F5C97-70A1-4164-9199-815C6A6A59DD}"/>
    <cellStyle name="40% - Accent6 3" xfId="239" xr:uid="{88061550-1FA6-4BD2-B11A-00A693901AF5}"/>
    <cellStyle name="40% - Accent6 3 2" xfId="353" xr:uid="{152B9510-68A0-49D7-8915-5D25E0B9BF37}"/>
    <cellStyle name="40% - Accent6 4" xfId="263" xr:uid="{10120615-3E3F-4139-B9C5-3692E7333EF1}"/>
    <cellStyle name="40% - Accent6 5" xfId="309" xr:uid="{85E09836-C196-48D4-9646-6C568398DFDF}"/>
    <cellStyle name="60% - Accent1" xfId="116" builtinId="32" customBuiltin="1"/>
    <cellStyle name="60% - Accent1 2" xfId="264" xr:uid="{0FBAEF88-07D5-49D6-AD98-021F041A54DD}"/>
    <cellStyle name="60% - Accent1 3" xfId="162" xr:uid="{AAB8EBDA-4861-4239-B111-9C59BD42E424}"/>
    <cellStyle name="60% - Accent2" xfId="120" builtinId="36" customBuiltin="1"/>
    <cellStyle name="60% - Accent2 2" xfId="265" xr:uid="{9E279784-8AA5-413C-98C7-366CEC6DFB32}"/>
    <cellStyle name="60% - Accent2 3" xfId="160" xr:uid="{608067CD-6D8A-4B2C-9F57-BBAF571DB4D4}"/>
    <cellStyle name="60% - Accent3" xfId="124" builtinId="40" customBuiltin="1"/>
    <cellStyle name="60% - Accent3 2" xfId="158" xr:uid="{2020F3C2-610A-42C5-9FF2-702422E251EC}"/>
    <cellStyle name="60% - Accent3 3" xfId="192" xr:uid="{48B78CC3-22E1-491A-AAE0-8BF3E7F3096D}"/>
    <cellStyle name="60% - Accent3 4" xfId="266" xr:uid="{3E54F20D-BB02-485A-8F91-78116B90E5AA}"/>
    <cellStyle name="60% - Accent3 5" xfId="228" xr:uid="{82F0EBB5-36B6-4F66-8E60-14D052D74CD1}"/>
    <cellStyle name="60% - Accent4" xfId="128" builtinId="44" customBuiltin="1"/>
    <cellStyle name="60% - Accent4 2" xfId="155" xr:uid="{4A8164F4-AF29-41C6-8FFA-7C804D1ADC89}"/>
    <cellStyle name="60% - Accent4 3" xfId="193" xr:uid="{FD61FC60-A83C-49B7-9797-A0EE99A83A1F}"/>
    <cellStyle name="60% - Accent4 4" xfId="267" xr:uid="{5D21D77F-6032-461D-94C3-47E6E378BBB3}"/>
    <cellStyle name="60% - Accent4 5" xfId="229" xr:uid="{E3D23C08-4B3A-43DB-9650-87E04C33BFEF}"/>
    <cellStyle name="60% - Accent5" xfId="132" builtinId="48" customBuiltin="1"/>
    <cellStyle name="60% - Accent5 2" xfId="268" xr:uid="{D4FC1A86-B3B4-4426-8B92-F06ECEE35DD7}"/>
    <cellStyle name="60% - Accent5 3" xfId="153" xr:uid="{E92A1F54-DF19-4468-B032-DF406FD2D5A5}"/>
    <cellStyle name="60% - Accent6" xfId="136" builtinId="52" customBuiltin="1"/>
    <cellStyle name="60% - Accent6 2" xfId="151" xr:uid="{9979C036-67CA-4769-9ADD-690967D5B507}"/>
    <cellStyle name="60% - Accent6 3" xfId="194" xr:uid="{A67149EF-37F3-42BD-9B42-2159AA8F54C2}"/>
    <cellStyle name="60% - Accent6 4" xfId="269" xr:uid="{CB875658-47C9-4A7E-AD6A-8813FABE1CD8}"/>
    <cellStyle name="60% - Accent6 5" xfId="230" xr:uid="{75DE898F-B343-4F62-AD73-6DBE3370387A}"/>
    <cellStyle name="Accent1" xfId="113" builtinId="29" customBuiltin="1"/>
    <cellStyle name="Accent1 2" xfId="270" xr:uid="{2F9EBDF8-EFCF-4670-9E73-CF15AA2C8513}"/>
    <cellStyle name="Accent2" xfId="117" builtinId="33" customBuiltin="1"/>
    <cellStyle name="Accent2 2" xfId="271" xr:uid="{4C591FB8-29AF-4AB5-97E2-BC80FDD56DC6}"/>
    <cellStyle name="Accent3" xfId="121" builtinId="37" customBuiltin="1"/>
    <cellStyle name="Accent3 2" xfId="272" xr:uid="{E913A6DA-DC1D-4392-A239-E1BAB359A021}"/>
    <cellStyle name="Accent4" xfId="125" builtinId="41" customBuiltin="1"/>
    <cellStyle name="Accent4 2" xfId="273" xr:uid="{84A5B390-28F3-4436-AD91-01055C82EFB2}"/>
    <cellStyle name="Accent5" xfId="129" builtinId="45" customBuiltin="1"/>
    <cellStyle name="Accent5 2" xfId="274" xr:uid="{C403E7C9-D686-4D0B-A326-885D438A21EA}"/>
    <cellStyle name="Accent6" xfId="133" builtinId="49" customBuiltin="1"/>
    <cellStyle name="Accent6 2" xfId="275" xr:uid="{17A3CF96-693C-4B39-A40E-E7BDAC964E89}"/>
    <cellStyle name="Bad" xfId="103" builtinId="27" customBuiltin="1"/>
    <cellStyle name="Bad 2" xfId="276" xr:uid="{CBADEF3F-2912-4147-A7DD-049F69ECDED7}"/>
    <cellStyle name="Body: normal cell" xfId="84" xr:uid="{AAABD088-1304-47CF-869E-54AFE6064964}"/>
    <cellStyle name="Calculation" xfId="107" builtinId="22" customBuiltin="1"/>
    <cellStyle name="Calculation 2" xfId="277" xr:uid="{BB04E3CF-4234-4B8C-AAB4-125B294BE0F7}"/>
    <cellStyle name="Calculation 2 2" xfId="144" xr:uid="{7B7706B3-9832-4411-865C-5FE3B67A3E7F}"/>
    <cellStyle name="Calculation 2 3" xfId="371" xr:uid="{D22B68E1-6862-4E14-981F-DE6FE40DFACA}"/>
    <cellStyle name="Calculation 2 4" xfId="142" xr:uid="{88FD6DA9-CF0D-401F-8AC0-34AC13E1AC70}"/>
    <cellStyle name="Check Cell" xfId="109" builtinId="23" customBuiltin="1"/>
    <cellStyle name="Check Cell 2" xfId="278" xr:uid="{360C5E20-32B8-430E-9B25-570B7B416A76}"/>
    <cellStyle name="Comma" xfId="1" builtinId="3"/>
    <cellStyle name="Comma 10" xfId="157" xr:uid="{974F5150-03CB-40DC-A5EB-C5EABAD19543}"/>
    <cellStyle name="Comma 11" xfId="196" xr:uid="{173CAE04-9699-45BD-9DFD-2F0B4490C258}"/>
    <cellStyle name="Comma 12" xfId="197" xr:uid="{07973501-D202-4AC4-A6D8-EA2177D037FA}"/>
    <cellStyle name="Comma 13" xfId="198" xr:uid="{A008CAFC-B508-4339-9785-5989C2DBAB39}"/>
    <cellStyle name="Comma 14" xfId="199" xr:uid="{9A4DBDFB-7ECD-48E3-86AC-642A7DB6A7FB}"/>
    <cellStyle name="Comma 15" xfId="200" xr:uid="{346B7324-9C26-4ADD-915E-E702361B1B96}"/>
    <cellStyle name="Comma 16" xfId="201" xr:uid="{8771733F-12D3-4155-B98D-EB9165D7524A}"/>
    <cellStyle name="Comma 17" xfId="202" xr:uid="{D2E828E0-02FA-4337-A075-CA80ADB00C44}"/>
    <cellStyle name="Comma 18" xfId="195" xr:uid="{7F531399-A568-451C-98EA-DFCBE4BF4564}"/>
    <cellStyle name="Comma 19" xfId="38" xr:uid="{DDCE393F-1348-4189-A747-6A37252868C8}"/>
    <cellStyle name="Comma 19 2" xfId="355" xr:uid="{11616344-594E-43BD-B3D3-2A8BBDD24E9E}"/>
    <cellStyle name="Comma 19 3" xfId="241" xr:uid="{09364125-AA71-40DB-B3C6-6BFD41F7464D}"/>
    <cellStyle name="Comma 2" xfId="2" xr:uid="{00000000-0005-0000-0000-000001000000}"/>
    <cellStyle name="Comma 2 2" xfId="14" xr:uid="{1C9077E0-5527-45A6-8EEF-D5F248207782}"/>
    <cellStyle name="Comma 2 2 2" xfId="339" xr:uid="{87C85B73-FB98-445F-B246-EBC9A17A70EC}"/>
    <cellStyle name="Comma 2 2 3" xfId="203" xr:uid="{89AB8884-F733-449C-AE7A-12097AC2A627}"/>
    <cellStyle name="Comma 2 3" xfId="248" xr:uid="{BA8E939A-B93A-4154-91FB-F6AF914A8C02}"/>
    <cellStyle name="Comma 2 3 2" xfId="361" xr:uid="{F1ED8589-0281-46E3-B46B-177F35A05B8D}"/>
    <cellStyle name="Comma 2 4" xfId="279" xr:uid="{3681BAD9-AD19-4234-B953-6B890ACD5432}"/>
    <cellStyle name="Comma 2 5" xfId="316" xr:uid="{0C178AA8-28C5-4254-B134-FAA54793A4FC}"/>
    <cellStyle name="Comma 2 6" xfId="154" xr:uid="{F70197A6-DA58-43B6-943A-AD1DCB6219F8}"/>
    <cellStyle name="Comma 20" xfId="321" xr:uid="{66FB9168-665A-4C7D-B9AF-CB5BAA389156}"/>
    <cellStyle name="Comma 21" xfId="173" xr:uid="{47A8C6B7-D99C-4630-BD41-EF9115ACF656}"/>
    <cellStyle name="Comma 22" xfId="139" xr:uid="{EDF07AD8-07D5-4FBC-B7E6-4AC4E228E6E2}"/>
    <cellStyle name="Comma 23" xfId="380" xr:uid="{AD33C9F0-2C09-4802-8291-6B3F5B9ECF61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4 2 2" xfId="340" xr:uid="{7BF1C912-7D37-46C0-9ECA-902C2637F2EA}"/>
    <cellStyle name="Comma 4 3" xfId="204" xr:uid="{64B597EF-614B-48C9-9308-DFFB65FAF003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omma 5 4" xfId="152" xr:uid="{5DE1518C-9089-4D79-B9B5-C5286E6C9486}"/>
    <cellStyle name="Comma 6" xfId="74" xr:uid="{5AE75EFE-983D-4415-ABF1-C4602BF3FD8A}"/>
    <cellStyle name="Comma 6 2" xfId="163" xr:uid="{B4B23E05-5195-41A3-90BF-42849054B808}"/>
    <cellStyle name="Comma 7" xfId="85" xr:uid="{89556A3A-0567-43CE-A6FB-D4B1BAA3DD4E}"/>
    <cellStyle name="Comma 7 2" xfId="161" xr:uid="{02598CF4-B928-4226-945D-64F9B7ACCE5A}"/>
    <cellStyle name="Comma 8" xfId="159" xr:uid="{B00CD39B-8D0A-45F0-83E5-E0B0D26C09C8}"/>
    <cellStyle name="Comma 9" xfId="156" xr:uid="{E6D79CAB-76B5-43F7-8F35-C72F70247B21}"/>
    <cellStyle name="Currency 2" xfId="33" xr:uid="{8219487F-D241-4C0D-8320-8F18D40FD705}"/>
    <cellStyle name="Explanatory Text" xfId="111" builtinId="53" customBuiltin="1"/>
    <cellStyle name="Explanatory Text 2" xfId="280" xr:uid="{C94C4120-995B-42E5-AA29-196F3D294F3F}"/>
    <cellStyle name="Followed Hyperlink 2" xfId="86" xr:uid="{2AABDBBF-5861-44C2-B8CD-B4B39E048C61}"/>
    <cellStyle name="Font: Calibri, 9pt regular" xfId="87" xr:uid="{93F2A3A3-0F15-45D7-8E50-6DD1381DFC7F}"/>
    <cellStyle name="Footnotes: all except top row" xfId="88" xr:uid="{EE6C687A-2487-4788-A031-C0108D2935BA}"/>
    <cellStyle name="Footnotes: top row" xfId="89" xr:uid="{4F149294-B9D2-4009-9057-CD6A7F7B001A}"/>
    <cellStyle name="Good" xfId="102" builtinId="26" customBuiltin="1"/>
    <cellStyle name="Good 2" xfId="281" xr:uid="{1E99981B-F077-4E18-81A8-D74F5B17D5A1}"/>
    <cellStyle name="Header: bottom row" xfId="90" xr:uid="{D4B17AAD-4BD3-4462-AC0F-7F8590C3748C}"/>
    <cellStyle name="Header: top rows" xfId="91" xr:uid="{005404BA-63BC-4393-AABC-6C19CD87D840}"/>
    <cellStyle name="Heading 1" xfId="98" builtinId="16" customBuiltin="1"/>
    <cellStyle name="Heading 1 2" xfId="282" xr:uid="{7AEE7AEE-9447-408E-8437-9315EAE63F61}"/>
    <cellStyle name="Heading 2" xfId="99" builtinId="17" customBuiltin="1"/>
    <cellStyle name="Heading 2 2" xfId="283" xr:uid="{C92A699F-D084-464D-B420-ABE0BE484C8C}"/>
    <cellStyle name="Heading 3" xfId="100" builtinId="18" customBuiltin="1"/>
    <cellStyle name="Heading 3 2" xfId="284" xr:uid="{518823A6-45BC-47F1-B155-738DE517DFE9}"/>
    <cellStyle name="Heading 4" xfId="101" builtinId="19" customBuiltin="1"/>
    <cellStyle name="Heading 4 2" xfId="285" xr:uid="{B7D84DC7-608E-4152-974D-29C0719719BB}"/>
    <cellStyle name="Hyperlink" xfId="4" builtinId="8"/>
    <cellStyle name="Hyperlink 2" xfId="5" xr:uid="{00000000-0005-0000-0000-000004000000}"/>
    <cellStyle name="Hyperlink 2 2" xfId="249" xr:uid="{7FAD3A58-790F-4ED0-8D4A-AB7B6D7E6BD7}"/>
    <cellStyle name="Hyperlink 3" xfId="6" xr:uid="{00000000-0005-0000-0000-000005000000}"/>
    <cellStyle name="Hyperlink 3 2" xfId="242" xr:uid="{E8BFBA16-071E-4BDC-AF6C-C92DAA0BB06A}"/>
    <cellStyle name="Hyperlink 4" xfId="92" xr:uid="{3670B919-B3BB-4E75-9930-7D6F569E3C0E}"/>
    <cellStyle name="Hyperlink 4 2" xfId="164" xr:uid="{EC59D5CE-C330-4E4D-849B-4EECA6AA0335}"/>
    <cellStyle name="Input" xfId="105" builtinId="20" customBuiltin="1"/>
    <cellStyle name="Input 2" xfId="286" xr:uid="{7B58C08A-19AD-4A8C-8221-CED672E83884}"/>
    <cellStyle name="Input 2 2" xfId="374" xr:uid="{524081B4-428E-4FAD-BAED-75EDEB7C75CB}"/>
    <cellStyle name="Input 2 3" xfId="377" xr:uid="{710D73DB-794E-47B8-B9FF-E2E3E61B92CB}"/>
    <cellStyle name="Input 2 4" xfId="364" xr:uid="{5173D68A-B994-45B6-A40F-C4B6DCE1236A}"/>
    <cellStyle name="Linked Cell" xfId="108" builtinId="24" customBuiltin="1"/>
    <cellStyle name="Linked Cell 2" xfId="287" xr:uid="{0A4AFD6D-084D-4E85-8F45-FE4F57D325B9}"/>
    <cellStyle name="Neutral" xfId="104" builtinId="28" customBuiltin="1"/>
    <cellStyle name="Neutral 2" xfId="288" xr:uid="{7D349BF1-96FC-4376-98F3-D0609127254C}"/>
    <cellStyle name="Neutral 3" xfId="165" xr:uid="{2E34183E-493C-4078-91F7-C3680CD19886}"/>
    <cellStyle name="Normal" xfId="0" builtinId="0"/>
    <cellStyle name="Normal 10" xfId="27" xr:uid="{89A3A5E2-F786-4249-BED3-9C369DE53169}"/>
    <cellStyle name="Normal 10 2" xfId="60" xr:uid="{E126FF74-8F35-46C0-B499-BB9FB7C0492D}"/>
    <cellStyle name="Normal 10 3" xfId="205" xr:uid="{2C4D7787-381F-41EE-BCB9-07068866B7E2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13" xfId="72" xr:uid="{D8E7C54E-9648-4EBA-A6E5-9F8B28FE758E}"/>
    <cellStyle name="Normal 11 14" xfId="77" xr:uid="{FBCA5CF9-91AF-4274-8B94-2F05ECCBC4AB}"/>
    <cellStyle name="Normal 11 15" xfId="78" xr:uid="{F199BEED-3A97-42C5-BE5E-3CAE11A245B2}"/>
    <cellStyle name="Normal 11 16" xfId="80" xr:uid="{20AE4923-93D2-4A0A-A99C-F322F52DB714}"/>
    <cellStyle name="Normal 11 17" xfId="81" xr:uid="{5DA86BD8-8610-4DFE-8E4B-9978D765DE5A}"/>
    <cellStyle name="Normal 11 18" xfId="82" xr:uid="{F12195B6-594D-47B4-9073-432DB3C44860}"/>
    <cellStyle name="Normal 11 19" xfId="206" xr:uid="{85C4D507-476D-43A0-82DF-71DDD8B7D3C5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2 5" xfId="388" xr:uid="{86AD59B7-3B91-4AAD-A645-4E2B6A5D9A8F}"/>
    <cellStyle name="Normal 11 20" xfId="378" xr:uid="{C0BDACBF-3619-4FBE-8B6C-5F7DC0F97B12}"/>
    <cellStyle name="Normal 11 21" xfId="387" xr:uid="{74D9CBF0-B598-4AD2-B871-13389B41360D}"/>
    <cellStyle name="Normal 11 3" xfId="32" xr:uid="{5440E113-77DF-4DAD-9026-4858CCB03DB9}"/>
    <cellStyle name="Normal 11 3 2" xfId="43" xr:uid="{8321DB1C-E877-443D-8A22-A2E591665B83}"/>
    <cellStyle name="Normal 11 3 2 2" xfId="76" xr:uid="{0E6AB9D7-72A7-4FF5-A7F1-271F29BBDBD3}"/>
    <cellStyle name="Normal 11 3 2 2 2" xfId="383" xr:uid="{0B0260D0-DD49-4387-9999-E9B1B6A18FB5}"/>
    <cellStyle name="Normal 11 3 3" xfId="65" xr:uid="{4E905B9F-EF70-4EAF-9DFC-D3D7C0096B62}"/>
    <cellStyle name="Normal 11 4" xfId="34" xr:uid="{A40234E1-3048-4174-AD15-1523030C134E}"/>
    <cellStyle name="Normal 11 4 2" xfId="386" xr:uid="{4396524B-9ED0-49DF-8F29-874B0BB004EC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3 3" xfId="385" xr:uid="{22F6C968-E729-4542-A5F8-49C2B25E9079}"/>
    <cellStyle name="Normal 11 6 4" xfId="46" xr:uid="{8BEB9B88-2ECA-4F90-BDBA-C56B823B5754}"/>
    <cellStyle name="Normal 11 6 4 2" xfId="382" xr:uid="{E35375AA-E205-4716-B41F-9DAAC86A63D1}"/>
    <cellStyle name="Normal 11 6 4 3" xfId="384" xr:uid="{2CD41167-0A76-4530-B037-E4CBB634296A}"/>
    <cellStyle name="Normal 11 6 5" xfId="73" xr:uid="{5081E91F-DB7D-4380-8B4D-4A87175D4BD0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12" xfId="75" xr:uid="{35957245-A0B2-4B95-BCE2-DFC85ECCD621}"/>
    <cellStyle name="Normal 12 2" xfId="207" xr:uid="{3E1767D0-6B40-4A5B-8FAB-6DEF2ECBFBE5}"/>
    <cellStyle name="Normal 13" xfId="79" xr:uid="{9E2AFF03-0374-4DAB-9B4E-F3E30AAD9A78}"/>
    <cellStyle name="Normal 13 2" xfId="208" xr:uid="{5A4175F5-C1BB-41BA-9779-D3876062B4C9}"/>
    <cellStyle name="Normal 14" xfId="83" xr:uid="{BAB90E85-6B6D-45C8-8BC4-D96E3F711A33}"/>
    <cellStyle name="Normal 14 2" xfId="209" xr:uid="{90BF5225-74E6-4131-BFF1-818FEA15BE96}"/>
    <cellStyle name="Normal 15" xfId="210" xr:uid="{2611E386-557A-45FD-A072-E557E32BD723}"/>
    <cellStyle name="Normal 16" xfId="211" xr:uid="{E584E80A-0AC0-4BA4-972E-F77FC3AC618B}"/>
    <cellStyle name="Normal 17" xfId="174" xr:uid="{82B278D5-1A1A-4E42-AEBD-22B80ED8F858}"/>
    <cellStyle name="Normal 18" xfId="231" xr:uid="{01500EEB-E236-40E6-B24D-636C7D545421}"/>
    <cellStyle name="Normal 18 2" xfId="345" xr:uid="{6D9B38BC-E55C-47F7-92C2-7A55AA88F965}"/>
    <cellStyle name="Normal 19" xfId="310" xr:uid="{85F2347C-2F58-47B0-AAF4-DA11F271F632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20" xfId="297" xr:uid="{5675D048-D926-4D76-A9C5-0E9E74212AD8}"/>
    <cellStyle name="Normal 21" xfId="145" xr:uid="{57311FF5-2538-45E7-80A5-22F4407D22EE}"/>
    <cellStyle name="Normal 22" xfId="137" xr:uid="{34355714-1B6B-473D-B1EE-A7F5E53EA421}"/>
    <cellStyle name="Normal 23" xfId="379" xr:uid="{3C180D01-4C5F-437C-AB00-FA7095AF426B}"/>
    <cellStyle name="Normal 3" xfId="9" xr:uid="{00000000-0005-0000-0000-000009000000}"/>
    <cellStyle name="Normal 3 2" xfId="21" xr:uid="{70607CDE-CC71-4B27-B690-3D2401DD0B38}"/>
    <cellStyle name="Normal 3 3" xfId="166" xr:uid="{24016708-ACDF-4123-AC81-090C466438EA}"/>
    <cellStyle name="Normal 4" xfId="10" xr:uid="{00000000-0005-0000-0000-00000A000000}"/>
    <cellStyle name="Normal 4 2" xfId="15" xr:uid="{4805FFD6-0377-46EF-881C-FDB9DF487011}"/>
    <cellStyle name="Normal 4 3" xfId="167" xr:uid="{32C3AD38-24EB-4CDC-B98B-A91F4D2A626A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3" xfId="52" xr:uid="{61D29457-DAC5-44A6-B4DB-3F6E4FD534E7}"/>
    <cellStyle name="Normal 5 4" xfId="168" xr:uid="{72593085-5AF4-4127-9467-36099588CA02}"/>
    <cellStyle name="Normal 6" xfId="13" xr:uid="{EBE75F6A-C88B-45B8-A8CA-B04BAAF6B28C}"/>
    <cellStyle name="Normal 6 2" xfId="212" xr:uid="{1A367DA1-9CC0-42DA-9119-E74336950E8C}"/>
    <cellStyle name="Normal 6 2 2" xfId="341" xr:uid="{E20501AB-0A1D-45EC-8D74-124F36BB4B07}"/>
    <cellStyle name="Normal 6 3" xfId="250" xr:uid="{946EAB2F-3003-438D-AECA-E36A970A2718}"/>
    <cellStyle name="Normal 6 3 2" xfId="362" xr:uid="{12BACF06-EA48-4382-91FB-563037CC3A6F}"/>
    <cellStyle name="Normal 6 4" xfId="289" xr:uid="{0EC8BBF7-2579-442B-B652-39916CBF4B7C}"/>
    <cellStyle name="Normal 6 5" xfId="317" xr:uid="{2E522AAE-3A43-4D85-9BC9-D75DF67CA993}"/>
    <cellStyle name="Normal 6 6" xfId="169" xr:uid="{808CEDD4-B41F-4D2C-982F-C9996D1BAA59}"/>
    <cellStyle name="Normal 7" xfId="16" xr:uid="{3D34A042-2E55-4E8C-B59D-A542FFF81875}"/>
    <cellStyle name="Normal 7 2" xfId="213" xr:uid="{820CAB25-D625-44C5-95BC-3DAC14BF070F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8 5" xfId="214" xr:uid="{2576F2E6-EAB3-416F-A6AD-5298A27898D5}"/>
    <cellStyle name="Normal 9" xfId="25" xr:uid="{AF562AB2-2E7D-4C04-814F-6AC30A92CE3A}"/>
    <cellStyle name="Normal 9 2" xfId="58" xr:uid="{9E080DFC-9773-4552-A43C-01793D50B659}"/>
    <cellStyle name="Normal 9 2 2" xfId="342" xr:uid="{62794239-764B-447C-ABD6-07E51E756932}"/>
    <cellStyle name="Normal 9 3" xfId="215" xr:uid="{6F223409-C652-4E49-AD52-D3363DDC15E9}"/>
    <cellStyle name="Note 2" xfId="170" xr:uid="{C3F208D1-D7F4-4FA1-9DDC-24DCCAF00B13}"/>
    <cellStyle name="Note 2 2" xfId="216" xr:uid="{D1F5C7A0-2A37-4AEC-B6E7-1061E205B394}"/>
    <cellStyle name="Note 2 2 2" xfId="343" xr:uid="{BE6495D6-013F-4019-8749-17BC74715577}"/>
    <cellStyle name="Note 2 3" xfId="251" xr:uid="{FD29B074-0975-4C84-B020-F6AFF1851528}"/>
    <cellStyle name="Note 2 3 2" xfId="363" xr:uid="{50FF0CC4-B61A-4B7C-A7A5-65EFC15AC715}"/>
    <cellStyle name="Note 2 4" xfId="291" xr:uid="{B26BB074-7925-4B7D-8117-A3CAC5FCB62F}"/>
    <cellStyle name="Note 2 4 2" xfId="140" xr:uid="{CD338698-8C7F-41B4-BFCC-7A91B33CA405}"/>
    <cellStyle name="Note 2 4 3" xfId="365" xr:uid="{27FEE197-3F21-42C7-B439-6EEE26B30AE5}"/>
    <cellStyle name="Note 2 4 4" xfId="370" xr:uid="{E345255D-CBE2-4B3B-BDE4-FBDA6A4F6C58}"/>
    <cellStyle name="Note 2 5" xfId="318" xr:uid="{B3F27023-4B65-487D-85FA-119154F7A601}"/>
    <cellStyle name="Note 3" xfId="217" xr:uid="{A7C0021F-FA46-4B96-89A8-7F34D94EC6D7}"/>
    <cellStyle name="Note 3 2" xfId="344" xr:uid="{C8A3A4EC-5754-4556-B45B-E9F0EB3392A3}"/>
    <cellStyle name="Note 4" xfId="232" xr:uid="{674244FC-6EC5-411F-89FA-4B0E9038DE2A}"/>
    <cellStyle name="Note 4 2" xfId="346" xr:uid="{476131BE-25DB-416D-A65E-21EF7F48DC69}"/>
    <cellStyle name="Note 5" xfId="290" xr:uid="{49675C76-00C1-4D5F-A92B-FB5C643FAD50}"/>
    <cellStyle name="Note 5 2" xfId="372" xr:uid="{1D4303E1-BA87-49AF-BEBD-66461DE983B6}"/>
    <cellStyle name="Note 5 3" xfId="375" xr:uid="{18B60FC2-E969-4468-8CAB-3005B7F7D8F5}"/>
    <cellStyle name="Note 5 4" xfId="141" xr:uid="{96A6F1D8-69F2-4049-89FA-0FCDB1B3A5B9}"/>
    <cellStyle name="Note 6" xfId="143" xr:uid="{76A629B7-C611-430C-B43D-08A666E8CF1D}"/>
    <cellStyle name="Output" xfId="106" builtinId="21" customBuiltin="1"/>
    <cellStyle name="Output 2" xfId="292" xr:uid="{F0F7321F-71EB-4A8C-8C89-2F60FECB46B8}"/>
    <cellStyle name="Output 2 2" xfId="376" xr:uid="{90A23603-FA65-4F0B-AAB1-E7BE1B0B7B4D}"/>
    <cellStyle name="Output 2 3" xfId="366" xr:uid="{D7F1167F-3E6F-43C6-84FD-662AF9CC9FFC}"/>
    <cellStyle name="Output 2 4" xfId="367" xr:uid="{0E6E46EF-85D7-42C9-9F6B-65DAE1A4A407}"/>
    <cellStyle name="Parent row" xfId="93" xr:uid="{1E35CEB2-0821-4BF1-BD95-43226D3AD920}"/>
    <cellStyle name="Percent" xfId="12" builtinId="5"/>
    <cellStyle name="Percent 10" xfId="219" xr:uid="{92F77126-7B32-4F8C-B344-7B37D151D0C7}"/>
    <cellStyle name="Percent 11" xfId="218" xr:uid="{F7D15F6F-81BB-4D3E-B697-27C670C1CDD2}"/>
    <cellStyle name="Percent 12" xfId="240" xr:uid="{741C9297-9E27-4399-A400-2F12719101AC}"/>
    <cellStyle name="Percent 12 2" xfId="354" xr:uid="{F0A842BE-F717-44AD-80B7-18EB878BCAC3}"/>
    <cellStyle name="Percent 13" xfId="320" xr:uid="{BEB9E956-C81D-440D-9C91-F27DC881370B}"/>
    <cellStyle name="Percent 14" xfId="172" xr:uid="{A6D3652B-46E0-4617-A624-3F55D9D45EF5}"/>
    <cellStyle name="Percent 15" xfId="138" xr:uid="{1EB19C15-2A09-4CDB-B7E1-F0F563AABEDB}"/>
    <cellStyle name="Percent 16" xfId="381" xr:uid="{5E5EE0A9-1D4B-47BE-8361-41A2BA1C8885}"/>
    <cellStyle name="Percent 2" xfId="220" xr:uid="{4E8FF06F-C868-44AB-8B82-DE6FBA9CF0DD}"/>
    <cellStyle name="Percent 2 2" xfId="293" xr:uid="{117EB9A9-FAC7-4563-9DA1-0C6C8C6BE39A}"/>
    <cellStyle name="Percent 3" xfId="221" xr:uid="{9D943620-D73E-4A49-9FE6-D205063B48A5}"/>
    <cellStyle name="Percent 4" xfId="222" xr:uid="{8932F41B-FFB4-4B9C-BAD8-A0A307E40099}"/>
    <cellStyle name="Percent 5" xfId="223" xr:uid="{1B85EFDA-1988-40D7-A863-F101DBBB4422}"/>
    <cellStyle name="Percent 6" xfId="224" xr:uid="{3F95738A-1B06-45D0-81DA-5EE8D7595801}"/>
    <cellStyle name="Percent 7" xfId="225" xr:uid="{0102FDA9-6934-4662-BB9C-D0F83F816AF2}"/>
    <cellStyle name="Percent 8" xfId="226" xr:uid="{142055B5-847B-4C5A-949F-23C062343333}"/>
    <cellStyle name="Percent 9" xfId="227" xr:uid="{2422C149-2921-477B-8821-F9004EA738B7}"/>
    <cellStyle name="Section Break" xfId="94" xr:uid="{EB5B8B72-A3B2-4FD1-9FD6-1F1106690713}"/>
    <cellStyle name="Section Break: parent row" xfId="95" xr:uid="{7C00BD4B-F008-4F1E-A7B5-8C0CA452A3F5}"/>
    <cellStyle name="Table title" xfId="96" xr:uid="{70FFA00A-4881-4DB5-929F-7AB7942E011A}"/>
    <cellStyle name="Title" xfId="97" builtinId="15" customBuiltin="1"/>
    <cellStyle name="Title 2" xfId="294" xr:uid="{962FCC9F-DABB-4175-89CF-C551B91789D2}"/>
    <cellStyle name="Title 3" xfId="319" xr:uid="{B6E17F5F-CA7A-489E-B43B-605634F9C8CA}"/>
    <cellStyle name="Title 4" xfId="171" xr:uid="{500FA8BC-4D95-4D1F-8A33-171C7EC13FD0}"/>
    <cellStyle name="Total" xfId="112" builtinId="25" customBuiltin="1"/>
    <cellStyle name="Total 2" xfId="295" xr:uid="{095124E0-EB53-42E5-A9A7-2724DCDF312E}"/>
    <cellStyle name="Total 2 2" xfId="369" xr:uid="{5B16891E-784B-4B3F-AC81-573F5799E57B}"/>
    <cellStyle name="Total 2 3" xfId="373" xr:uid="{0B1DCB72-05CF-48C0-8681-CABC6DA84842}"/>
    <cellStyle name="Total 2 4" xfId="368" xr:uid="{B3DF6F0E-5675-4F4B-BE9B-E3AE5E425E74}"/>
    <cellStyle name="Warning Text" xfId="110" builtinId="11" customBuiltin="1"/>
    <cellStyle name="Warning Text 2" xfId="296" xr:uid="{EFA92663-19D7-471E-8855-E3A9F964DFF3}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 xr9:uid="{C4CA7E98-DF71-47D1-AD66-48E16269045A}">
      <tableStyleElement type="wholeTable" dxfId="1"/>
      <tableStyleElement type="headerRow" dxfId="0"/>
    </tableStyle>
  </tableStyles>
  <colors>
    <mruColors>
      <color rgb="FF00B050"/>
      <color rgb="FFFFFF00"/>
      <color rgb="FFFFCC66"/>
      <color rgb="FFC0502F"/>
      <color rgb="FFFFCF01"/>
      <color rgb="FFFA6400"/>
      <color rgb="FFFFD966"/>
      <color rgb="FFFF9933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1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baseline="0">
                <a:effectLst/>
              </a:rPr>
              <a:t>U.S. sunflowerseed harvested acreage by type and total production, MY 2014/15–2024/25</a:t>
            </a:r>
            <a:endParaRPr lang="en-US" sz="3200" b="1">
              <a:effectLst/>
            </a:endParaRPr>
          </a:p>
        </c:rich>
      </c:tx>
      <c:layout>
        <c:manualLayout>
          <c:xMode val="edge"/>
          <c:yMode val="edge"/>
          <c:x val="1.1356877879811603E-2"/>
          <c:y val="7.5477476310225635E-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257430032631421E-2"/>
          <c:y val="0.19748415887373347"/>
          <c:w val="0.854247040982821"/>
          <c:h val="0.5537442716685585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1'!$B$1</c:f>
              <c:strCache>
                <c:ptCount val="1"/>
                <c:pt idx="0">
                  <c:v>Oil type harvested area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'Figure 1'!$A$2:$A$12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2024/25*</c:v>
                </c:pt>
              </c:strCache>
            </c:strRef>
          </c:cat>
          <c:val>
            <c:numRef>
              <c:f>'Figure 1'!$B$2:$B$12</c:f>
              <c:numCache>
                <c:formatCode>General</c:formatCode>
                <c:ptCount val="11"/>
                <c:pt idx="0">
                  <c:v>1134.5</c:v>
                </c:pt>
                <c:pt idx="1">
                  <c:v>1510</c:v>
                </c:pt>
                <c:pt idx="2">
                  <c:v>1368.5</c:v>
                </c:pt>
                <c:pt idx="3">
                  <c:v>1168</c:v>
                </c:pt>
                <c:pt idx="4">
                  <c:v>1090</c:v>
                </c:pt>
                <c:pt idx="5">
                  <c:v>1128</c:v>
                </c:pt>
                <c:pt idx="6">
                  <c:v>1448.5</c:v>
                </c:pt>
                <c:pt idx="7">
                  <c:v>1137.5</c:v>
                </c:pt>
                <c:pt idx="8">
                  <c:v>1471</c:v>
                </c:pt>
                <c:pt idx="9">
                  <c:v>1122.5</c:v>
                </c:pt>
                <c:pt idx="10">
                  <c:v>574.5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12-46AE-A046-90CE33D6895B}"/>
            </c:ext>
          </c:extLst>
        </c:ser>
        <c:ser>
          <c:idx val="5"/>
          <c:order val="1"/>
          <c:tx>
            <c:strRef>
              <c:f>'Figure 1'!$C$1</c:f>
              <c:strCache>
                <c:ptCount val="1"/>
                <c:pt idx="0">
                  <c:v>Nonoil type harvested area</c:v>
                </c:pt>
              </c:strCache>
            </c:strRef>
          </c:tx>
          <c:spPr>
            <a:solidFill>
              <a:schemeClr val="accent3"/>
            </a:solidFill>
            <a:ln w="38100">
              <a:noFill/>
            </a:ln>
          </c:spPr>
          <c:invertIfNegative val="0"/>
          <c:cat>
            <c:strRef>
              <c:f>'Figure 1'!$A$2:$A$12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2024/25*</c:v>
                </c:pt>
              </c:strCache>
            </c:strRef>
          </c:cat>
          <c:val>
            <c:numRef>
              <c:f>'Figure 1'!$C$2:$C$12</c:f>
              <c:numCache>
                <c:formatCode>General</c:formatCode>
                <c:ptCount val="11"/>
                <c:pt idx="0">
                  <c:v>370.6</c:v>
                </c:pt>
                <c:pt idx="1">
                  <c:v>290.39999999999998</c:v>
                </c:pt>
                <c:pt idx="2">
                  <c:v>163.5</c:v>
                </c:pt>
                <c:pt idx="3">
                  <c:v>165.8</c:v>
                </c:pt>
                <c:pt idx="4">
                  <c:v>123.4</c:v>
                </c:pt>
                <c:pt idx="5">
                  <c:v>121.5</c:v>
                </c:pt>
                <c:pt idx="6">
                  <c:v>213.6</c:v>
                </c:pt>
                <c:pt idx="7">
                  <c:v>104.3</c:v>
                </c:pt>
                <c:pt idx="8">
                  <c:v>128.5</c:v>
                </c:pt>
                <c:pt idx="9">
                  <c:v>141</c:v>
                </c:pt>
                <c:pt idx="1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12-46AE-A046-90CE33D68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0"/>
          <c:order val="2"/>
          <c:tx>
            <c:strRef>
              <c:f>'Figure 1'!$D$1</c:f>
              <c:strCache>
                <c:ptCount val="1"/>
                <c:pt idx="0">
                  <c:v>Total production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'Figure 1'!$A$2:$A$12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2024/25*</c:v>
                </c:pt>
              </c:strCache>
            </c:strRef>
          </c:cat>
          <c:val>
            <c:numRef>
              <c:f>'Figure 1'!$D$2:$D$12</c:f>
              <c:numCache>
                <c:formatCode>General</c:formatCode>
                <c:ptCount val="11"/>
                <c:pt idx="0">
                  <c:v>2212.3500000000004</c:v>
                </c:pt>
                <c:pt idx="1">
                  <c:v>2925.0299999999997</c:v>
                </c:pt>
                <c:pt idx="2">
                  <c:v>2651.6349999999998</c:v>
                </c:pt>
                <c:pt idx="3">
                  <c:v>2137.75</c:v>
                </c:pt>
                <c:pt idx="4">
                  <c:v>2101.0949999999998</c:v>
                </c:pt>
                <c:pt idx="5">
                  <c:v>1949.5350000000001</c:v>
                </c:pt>
                <c:pt idx="6">
                  <c:v>2977.6200000000003</c:v>
                </c:pt>
                <c:pt idx="7">
                  <c:v>1899.395</c:v>
                </c:pt>
                <c:pt idx="8">
                  <c:v>2808.5550000000003</c:v>
                </c:pt>
                <c:pt idx="9">
                  <c:v>2257.69</c:v>
                </c:pt>
                <c:pt idx="10">
                  <c:v>1304.557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12-46AE-A046-90CE33D68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525408"/>
        <c:axId val="598523968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Marketing</a:t>
                </a:r>
                <a:r>
                  <a:rPr lang="en-US" b="0" baseline="0"/>
                  <a:t> year</a:t>
                </a:r>
                <a:endParaRPr lang="en-US" b="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Thousand acres</a:t>
                </a:r>
              </a:p>
            </c:rich>
          </c:tx>
          <c:layout>
            <c:manualLayout>
              <c:xMode val="edge"/>
              <c:yMode val="edge"/>
              <c:x val="2.2668163079390615E-3"/>
              <c:y val="0.128108254202778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59852396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0"/>
                  <a:t>Million pounds</a:t>
                </a:r>
              </a:p>
            </c:rich>
          </c:tx>
          <c:layout>
            <c:manualLayout>
              <c:xMode val="edge"/>
              <c:yMode val="edge"/>
              <c:x val="0.86968921389396725"/>
              <c:y val="0.1203996659508470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598525408"/>
        <c:crosses val="max"/>
        <c:crossBetween val="between"/>
      </c:valAx>
      <c:catAx>
        <c:axId val="598525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852396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22230379376974041"/>
          <c:y val="9.086922958159642E-2"/>
          <c:w val="0.58167488732632855"/>
          <c:h val="0.104443209304719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2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baseline="0">
                <a:effectLst/>
              </a:rPr>
              <a:t>U.S. peanut production and disappearance, MY 2004/05–2024/25</a:t>
            </a:r>
            <a:endParaRPr lang="en-US" sz="2000" b="1">
              <a:effectLst/>
            </a:endParaRPr>
          </a:p>
        </c:rich>
      </c:tx>
      <c:layout>
        <c:manualLayout>
          <c:xMode val="edge"/>
          <c:yMode val="edge"/>
          <c:x val="1.7568588659466102E-3"/>
          <c:y val="6.738345809667681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966423720705412E-2"/>
          <c:y val="0.19341045925644679"/>
          <c:w val="0.8877059923315932"/>
          <c:h val="0.51855498447548354"/>
        </c:manualLayout>
      </c:layout>
      <c:areaChart>
        <c:grouping val="stacked"/>
        <c:varyColors val="0"/>
        <c:ser>
          <c:idx val="0"/>
          <c:order val="0"/>
          <c:tx>
            <c:strRef>
              <c:f>'Figure 2'!$B$1</c:f>
              <c:strCache>
                <c:ptCount val="1"/>
                <c:pt idx="0">
                  <c:v>Food use</c:v>
                </c:pt>
              </c:strCache>
            </c:strRef>
          </c:tx>
          <c:spPr>
            <a:ln>
              <a:noFill/>
            </a:ln>
          </c:spPr>
          <c:cat>
            <c:strRef>
              <c:f>'Figure 2'!$A$2:$A$22</c:f>
              <c:strCache>
                <c:ptCount val="21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  <c:pt idx="19">
                  <c:v>2023/24</c:v>
                </c:pt>
                <c:pt idx="20">
                  <c:v>2024/25*</c:v>
                </c:pt>
              </c:strCache>
            </c:strRef>
          </c:cat>
          <c:val>
            <c:numRef>
              <c:f>'Figure 2'!$B$2:$B$22</c:f>
              <c:numCache>
                <c:formatCode>_(* #,##0_);_(* \(#,##0\);_(* "-"??_);_(@_)</c:formatCode>
                <c:ptCount val="21"/>
                <c:pt idx="0">
                  <c:v>2539.4</c:v>
                </c:pt>
                <c:pt idx="1">
                  <c:v>2539</c:v>
                </c:pt>
                <c:pt idx="2">
                  <c:v>2528.1</c:v>
                </c:pt>
                <c:pt idx="3">
                  <c:v>2487.1</c:v>
                </c:pt>
                <c:pt idx="4">
                  <c:v>2518</c:v>
                </c:pt>
                <c:pt idx="5">
                  <c:v>2610.9</c:v>
                </c:pt>
                <c:pt idx="6">
                  <c:v>2803.9</c:v>
                </c:pt>
                <c:pt idx="7">
                  <c:v>2773.3</c:v>
                </c:pt>
                <c:pt idx="8">
                  <c:v>2794.3</c:v>
                </c:pt>
                <c:pt idx="9">
                  <c:v>2867.1</c:v>
                </c:pt>
                <c:pt idx="10">
                  <c:v>2981.9</c:v>
                </c:pt>
                <c:pt idx="11">
                  <c:v>3096.8</c:v>
                </c:pt>
                <c:pt idx="12">
                  <c:v>3109.3</c:v>
                </c:pt>
                <c:pt idx="13">
                  <c:v>3174.9</c:v>
                </c:pt>
                <c:pt idx="14">
                  <c:v>3154</c:v>
                </c:pt>
                <c:pt idx="15">
                  <c:v>3261.1</c:v>
                </c:pt>
                <c:pt idx="16">
                  <c:v>3369.5</c:v>
                </c:pt>
                <c:pt idx="17">
                  <c:v>3322.4</c:v>
                </c:pt>
                <c:pt idx="18">
                  <c:v>3298.5</c:v>
                </c:pt>
                <c:pt idx="19">
                  <c:v>3123.4</c:v>
                </c:pt>
                <c:pt idx="20">
                  <c:v>3159.5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8-4CC4-B5A7-C85395B7162B}"/>
            </c:ext>
          </c:extLst>
        </c:ser>
        <c:ser>
          <c:idx val="3"/>
          <c:order val="1"/>
          <c:tx>
            <c:strRef>
              <c:f>'Figure 2'!$E$1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strRef>
              <c:f>'Figure 2'!$A$2:$A$22</c:f>
              <c:strCache>
                <c:ptCount val="21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  <c:pt idx="19">
                  <c:v>2023/24</c:v>
                </c:pt>
                <c:pt idx="20">
                  <c:v>2024/25*</c:v>
                </c:pt>
              </c:strCache>
            </c:strRef>
          </c:cat>
          <c:val>
            <c:numRef>
              <c:f>'Figure 2'!$E$2:$E$22</c:f>
              <c:numCache>
                <c:formatCode>_(* #,##0_);_(* \(#,##0\);_(* "-"??_);_(@_)</c:formatCode>
                <c:ptCount val="21"/>
                <c:pt idx="0">
                  <c:v>491.5</c:v>
                </c:pt>
                <c:pt idx="1">
                  <c:v>491.6</c:v>
                </c:pt>
                <c:pt idx="2">
                  <c:v>603.1</c:v>
                </c:pt>
                <c:pt idx="3">
                  <c:v>750.3</c:v>
                </c:pt>
                <c:pt idx="4">
                  <c:v>726.7</c:v>
                </c:pt>
                <c:pt idx="5">
                  <c:v>592.4</c:v>
                </c:pt>
                <c:pt idx="6">
                  <c:v>606.1</c:v>
                </c:pt>
                <c:pt idx="7">
                  <c:v>546.20000000000005</c:v>
                </c:pt>
                <c:pt idx="8">
                  <c:v>1190.2</c:v>
                </c:pt>
                <c:pt idx="9">
                  <c:v>1096.2</c:v>
                </c:pt>
                <c:pt idx="10">
                  <c:v>1079.7</c:v>
                </c:pt>
                <c:pt idx="11">
                  <c:v>1544.3</c:v>
                </c:pt>
                <c:pt idx="12">
                  <c:v>1327.9</c:v>
                </c:pt>
                <c:pt idx="13">
                  <c:v>1271.5999999999999</c:v>
                </c:pt>
                <c:pt idx="14">
                  <c:v>1199.4000000000001</c:v>
                </c:pt>
                <c:pt idx="15">
                  <c:v>1610.3</c:v>
                </c:pt>
                <c:pt idx="16">
                  <c:v>1429.3</c:v>
                </c:pt>
                <c:pt idx="17">
                  <c:v>1184.0999999999999</c:v>
                </c:pt>
                <c:pt idx="18">
                  <c:v>1197.0999999999999</c:v>
                </c:pt>
                <c:pt idx="19">
                  <c:v>1455.3</c:v>
                </c:pt>
                <c:pt idx="20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D8-4CC4-B5A7-C85395B7162B}"/>
            </c:ext>
          </c:extLst>
        </c:ser>
        <c:ser>
          <c:idx val="2"/>
          <c:order val="2"/>
          <c:tx>
            <c:strRef>
              <c:f>'Figure 2'!$D$1</c:f>
              <c:strCache>
                <c:ptCount val="1"/>
                <c:pt idx="0">
                  <c:v>Crush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'Figure 2'!$A$2:$A$22</c:f>
              <c:strCache>
                <c:ptCount val="21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  <c:pt idx="19">
                  <c:v>2023/24</c:v>
                </c:pt>
                <c:pt idx="20">
                  <c:v>2024/25*</c:v>
                </c:pt>
              </c:strCache>
            </c:strRef>
          </c:cat>
          <c:val>
            <c:numRef>
              <c:f>'Figure 2'!$D$2:$D$22</c:f>
              <c:numCache>
                <c:formatCode>_(* #,##0_);_(* \(#,##0\);_(* "-"??_);_(@_)</c:formatCode>
                <c:ptCount val="21"/>
                <c:pt idx="0">
                  <c:v>394.3</c:v>
                </c:pt>
                <c:pt idx="1">
                  <c:v>543.70000000000005</c:v>
                </c:pt>
                <c:pt idx="2">
                  <c:v>513.79999999999995</c:v>
                </c:pt>
                <c:pt idx="3">
                  <c:v>497.3</c:v>
                </c:pt>
                <c:pt idx="4">
                  <c:v>445.7</c:v>
                </c:pt>
                <c:pt idx="5">
                  <c:v>435.7</c:v>
                </c:pt>
                <c:pt idx="6">
                  <c:v>588</c:v>
                </c:pt>
                <c:pt idx="7">
                  <c:v>605.1</c:v>
                </c:pt>
                <c:pt idx="8">
                  <c:v>657.6</c:v>
                </c:pt>
                <c:pt idx="9">
                  <c:v>663</c:v>
                </c:pt>
                <c:pt idx="10">
                  <c:v>675.6</c:v>
                </c:pt>
                <c:pt idx="11">
                  <c:v>709</c:v>
                </c:pt>
                <c:pt idx="12">
                  <c:v>879.9</c:v>
                </c:pt>
                <c:pt idx="13">
                  <c:v>705</c:v>
                </c:pt>
                <c:pt idx="14">
                  <c:v>648.5</c:v>
                </c:pt>
                <c:pt idx="15">
                  <c:v>774.2</c:v>
                </c:pt>
                <c:pt idx="16">
                  <c:v>872.9</c:v>
                </c:pt>
                <c:pt idx="17">
                  <c:v>842.4</c:v>
                </c:pt>
                <c:pt idx="18">
                  <c:v>794.7</c:v>
                </c:pt>
                <c:pt idx="19">
                  <c:v>654.20000000000005</c:v>
                </c:pt>
                <c:pt idx="20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D8-4CC4-B5A7-C85395B7162B}"/>
            </c:ext>
          </c:extLst>
        </c:ser>
        <c:ser>
          <c:idx val="1"/>
          <c:order val="3"/>
          <c:tx>
            <c:strRef>
              <c:f>'Figure 2'!$C$1</c:f>
              <c:strCache>
                <c:ptCount val="1"/>
                <c:pt idx="0">
                  <c:v>Seed and residual</c:v>
                </c:pt>
              </c:strCache>
            </c:strRef>
          </c:tx>
          <c:spPr>
            <a:solidFill>
              <a:schemeClr val="accent5"/>
            </a:solidFill>
          </c:spPr>
          <c:cat>
            <c:strRef>
              <c:f>'Figure 2'!$A$2:$A$22</c:f>
              <c:strCache>
                <c:ptCount val="21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  <c:pt idx="19">
                  <c:v>2023/24</c:v>
                </c:pt>
                <c:pt idx="20">
                  <c:v>2024/25*</c:v>
                </c:pt>
              </c:strCache>
            </c:strRef>
          </c:cat>
          <c:val>
            <c:numRef>
              <c:f>'Figure 2'!$C$2:$C$22</c:f>
              <c:numCache>
                <c:formatCode>_(* #,##0_);_(* \(#,##0\);_(* "-"??_);_(@_)</c:formatCode>
                <c:ptCount val="21"/>
                <c:pt idx="0">
                  <c:v>606.20000000000005</c:v>
                </c:pt>
                <c:pt idx="1">
                  <c:v>575.6</c:v>
                </c:pt>
                <c:pt idx="2">
                  <c:v>526.70000000000005</c:v>
                </c:pt>
                <c:pt idx="3">
                  <c:v>499.3</c:v>
                </c:pt>
                <c:pt idx="4">
                  <c:v>459</c:v>
                </c:pt>
                <c:pt idx="5">
                  <c:v>426</c:v>
                </c:pt>
                <c:pt idx="6">
                  <c:v>536.5</c:v>
                </c:pt>
                <c:pt idx="7">
                  <c:v>500.6</c:v>
                </c:pt>
                <c:pt idx="8">
                  <c:v>463.3</c:v>
                </c:pt>
                <c:pt idx="9">
                  <c:v>547.6</c:v>
                </c:pt>
                <c:pt idx="10">
                  <c:v>298</c:v>
                </c:pt>
                <c:pt idx="11">
                  <c:v>1055.7</c:v>
                </c:pt>
                <c:pt idx="12">
                  <c:v>775.4</c:v>
                </c:pt>
                <c:pt idx="13">
                  <c:v>858.8</c:v>
                </c:pt>
                <c:pt idx="14">
                  <c:v>902.7</c:v>
                </c:pt>
                <c:pt idx="15">
                  <c:v>236.6</c:v>
                </c:pt>
                <c:pt idx="16">
                  <c:v>762.1</c:v>
                </c:pt>
                <c:pt idx="17">
                  <c:v>725.1</c:v>
                </c:pt>
                <c:pt idx="18">
                  <c:v>681.8</c:v>
                </c:pt>
                <c:pt idx="19">
                  <c:v>1301.4000000000001</c:v>
                </c:pt>
                <c:pt idx="20">
                  <c:v>1271.3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D8-4CC4-B5A7-C85395B71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172272"/>
        <c:axId val="667170632"/>
      </c:areaChart>
      <c:lineChart>
        <c:grouping val="standard"/>
        <c:varyColors val="0"/>
        <c:ser>
          <c:idx val="4"/>
          <c:order val="4"/>
          <c:tx>
            <c:strRef>
              <c:f>'Figure 2'!$F$1</c:f>
              <c:strCache>
                <c:ptCount val="1"/>
                <c:pt idx="0">
                  <c:v>Production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'Figure 2'!$F$2:$F$22</c:f>
              <c:numCache>
                <c:formatCode>_(* #,##0_);_(* \(#,##0\);_(* "-"??_);_(@_)</c:formatCode>
                <c:ptCount val="21"/>
                <c:pt idx="0">
                  <c:v>4288.2</c:v>
                </c:pt>
                <c:pt idx="1">
                  <c:v>4869.8999999999996</c:v>
                </c:pt>
                <c:pt idx="2">
                  <c:v>3464.3</c:v>
                </c:pt>
                <c:pt idx="3">
                  <c:v>3672.3</c:v>
                </c:pt>
                <c:pt idx="4">
                  <c:v>5162.3999999999996</c:v>
                </c:pt>
                <c:pt idx="5">
                  <c:v>3691.7</c:v>
                </c:pt>
                <c:pt idx="6">
                  <c:v>4156.8</c:v>
                </c:pt>
                <c:pt idx="7">
                  <c:v>3658.6</c:v>
                </c:pt>
                <c:pt idx="8">
                  <c:v>6753.9</c:v>
                </c:pt>
                <c:pt idx="9">
                  <c:v>4173.2</c:v>
                </c:pt>
                <c:pt idx="10">
                  <c:v>5188.7</c:v>
                </c:pt>
                <c:pt idx="11">
                  <c:v>6001.4</c:v>
                </c:pt>
                <c:pt idx="12">
                  <c:v>5581.6</c:v>
                </c:pt>
                <c:pt idx="13">
                  <c:v>7115.4</c:v>
                </c:pt>
                <c:pt idx="14">
                  <c:v>5491.6</c:v>
                </c:pt>
                <c:pt idx="15">
                  <c:v>5464.8</c:v>
                </c:pt>
                <c:pt idx="16">
                  <c:v>6162.8</c:v>
                </c:pt>
                <c:pt idx="17">
                  <c:v>6359.2</c:v>
                </c:pt>
                <c:pt idx="18">
                  <c:v>5541.8</c:v>
                </c:pt>
                <c:pt idx="19">
                  <c:v>5877.6</c:v>
                </c:pt>
                <c:pt idx="20">
                  <c:v>6441.4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D8-4CC4-B5A7-C85395B71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Marketing</a:t>
                </a:r>
                <a:r>
                  <a:rPr lang="en-US" b="0" baseline="0"/>
                  <a:t> year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5024826303026871"/>
              <c:y val="0.7959299072091726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pounds</a:t>
                </a:r>
              </a:p>
            </c:rich>
          </c:tx>
          <c:layout>
            <c:manualLayout>
              <c:xMode val="edge"/>
              <c:yMode val="edge"/>
              <c:x val="4.1715817500052304E-3"/>
              <c:y val="0.115903845401049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898263357073917"/>
          <c:y val="0.14068868744864288"/>
          <c:w val="0.70290593555205416"/>
          <c:h val="5.2537564440276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3</a:t>
            </a:r>
          </a:p>
          <a:p>
            <a:pPr algn="l">
              <a:defRPr sz="1050" b="1"/>
            </a:pPr>
            <a:endParaRPr lang="en-US" sz="100" b="0" i="0" baseline="0">
              <a:effectLst/>
            </a:endParaRPr>
          </a:p>
          <a:p>
            <a:pPr algn="l">
              <a:defRPr sz="1050" b="1"/>
            </a:pPr>
            <a:r>
              <a:rPr lang="en-US" sz="1050" b="1" i="0" baseline="0">
                <a:effectLst/>
              </a:rPr>
              <a:t>Historical monthly average prices for palm oil and soybean oil  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5.2720330747438862E-3"/>
          <c:y val="4.16154570352618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138889258679806E-2"/>
          <c:y val="0.23557147331411132"/>
          <c:w val="0.87438092173026882"/>
          <c:h val="0.53470365457035263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3'!$B$1</c:f>
              <c:strCache>
                <c:ptCount val="1"/>
                <c:pt idx="0">
                  <c:v>Palm oil, Malaysia (FOB, dollars per ton)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3'!$A$2:$A$59</c:f>
              <c:numCache>
                <c:formatCode>mmm\-yyyy</c:formatCode>
                <c:ptCount val="58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</c:numCache>
            </c:numRef>
          </c:cat>
          <c:val>
            <c:numRef>
              <c:f>'Figure 3'!$B$2:$B$59</c:f>
              <c:numCache>
                <c:formatCode>0</c:formatCode>
                <c:ptCount val="58"/>
                <c:pt idx="0">
                  <c:v>759.67391304347825</c:v>
                </c:pt>
                <c:pt idx="1">
                  <c:v>673.875</c:v>
                </c:pt>
                <c:pt idx="2">
                  <c:v>585.90909090909088</c:v>
                </c:pt>
                <c:pt idx="3">
                  <c:v>561.59090909090912</c:v>
                </c:pt>
                <c:pt idx="4">
                  <c:v>529.28571428571433</c:v>
                </c:pt>
                <c:pt idx="5">
                  <c:v>603.86363636363637</c:v>
                </c:pt>
                <c:pt idx="6">
                  <c:v>645.97826086956525</c:v>
                </c:pt>
                <c:pt idx="7">
                  <c:v>710.35714285714289</c:v>
                </c:pt>
                <c:pt idx="8">
                  <c:v>746.25</c:v>
                </c:pt>
                <c:pt idx="9">
                  <c:v>770.68181818181813</c:v>
                </c:pt>
                <c:pt idx="10">
                  <c:v>866.90476190476193</c:v>
                </c:pt>
                <c:pt idx="11">
                  <c:v>934.89130434782612</c:v>
                </c:pt>
                <c:pt idx="12">
                  <c:v>990.11904761904759</c:v>
                </c:pt>
                <c:pt idx="13">
                  <c:v>1020</c:v>
                </c:pt>
                <c:pt idx="14">
                  <c:v>1040</c:v>
                </c:pt>
                <c:pt idx="15">
                  <c:v>1083.5227272727273</c:v>
                </c:pt>
                <c:pt idx="16">
                  <c:v>1165.7142857142858</c:v>
                </c:pt>
                <c:pt idx="17">
                  <c:v>1011.8181818181819</c:v>
                </c:pt>
                <c:pt idx="18">
                  <c:v>1079.4318181818182</c:v>
                </c:pt>
                <c:pt idx="19">
                  <c:v>1152.7272727272727</c:v>
                </c:pt>
                <c:pt idx="20">
                  <c:v>1180.340909090909</c:v>
                </c:pt>
                <c:pt idx="21">
                  <c:v>1315.8333333333333</c:v>
                </c:pt>
                <c:pt idx="22">
                  <c:v>1352.159090909091</c:v>
                </c:pt>
                <c:pt idx="23">
                  <c:v>1273.1521739130435</c:v>
                </c:pt>
                <c:pt idx="24">
                  <c:v>1353.3333333333333</c:v>
                </c:pt>
                <c:pt idx="25">
                  <c:v>1541.25</c:v>
                </c:pt>
                <c:pt idx="26">
                  <c:v>1781.6304347826087</c:v>
                </c:pt>
                <c:pt idx="27">
                  <c:v>1690.2380952380952</c:v>
                </c:pt>
                <c:pt idx="28">
                  <c:v>1722.0454545454545</c:v>
                </c:pt>
                <c:pt idx="29">
                  <c:v>1478.8636363636363</c:v>
                </c:pt>
                <c:pt idx="30">
                  <c:v>1055.8333333333333</c:v>
                </c:pt>
                <c:pt idx="31">
                  <c:v>1019.3478260869565</c:v>
                </c:pt>
                <c:pt idx="32">
                  <c:v>894.31818181818187</c:v>
                </c:pt>
                <c:pt idx="33">
                  <c:v>884.04761904761904</c:v>
                </c:pt>
                <c:pt idx="34">
                  <c:v>953.97727272727275</c:v>
                </c:pt>
                <c:pt idx="35">
                  <c:v>948.40909090909088</c:v>
                </c:pt>
                <c:pt idx="36">
                  <c:v>947.38636363636363</c:v>
                </c:pt>
                <c:pt idx="37">
                  <c:v>957.5</c:v>
                </c:pt>
                <c:pt idx="38">
                  <c:v>967.60869565217388</c:v>
                </c:pt>
                <c:pt idx="39">
                  <c:v>995.875</c:v>
                </c:pt>
                <c:pt idx="40">
                  <c:v>886.304347826087</c:v>
                </c:pt>
                <c:pt idx="41">
                  <c:v>814.43181818181813</c:v>
                </c:pt>
                <c:pt idx="42">
                  <c:v>884.52380952380952</c:v>
                </c:pt>
                <c:pt idx="43">
                  <c:v>861.52173913043475</c:v>
                </c:pt>
                <c:pt idx="44">
                  <c:v>833.09523809523807</c:v>
                </c:pt>
                <c:pt idx="45">
                  <c:v>805.56818181818187</c:v>
                </c:pt>
                <c:pt idx="46">
                  <c:v>835.56818181818187</c:v>
                </c:pt>
                <c:pt idx="47">
                  <c:v>819.52380952380952</c:v>
                </c:pt>
                <c:pt idx="48">
                  <c:v>850.21739130434787</c:v>
                </c:pt>
                <c:pt idx="49">
                  <c:v>864.375</c:v>
                </c:pt>
                <c:pt idx="50">
                  <c:v>949.88095238095241</c:v>
                </c:pt>
                <c:pt idx="51">
                  <c:v>940.11363636363637</c:v>
                </c:pt>
                <c:pt idx="52">
                  <c:v>861.304347826087</c:v>
                </c:pt>
                <c:pt idx="53">
                  <c:v>878.375</c:v>
                </c:pt>
                <c:pt idx="54">
                  <c:v>902.28260869565213</c:v>
                </c:pt>
                <c:pt idx="55">
                  <c:v>934.77272727272725</c:v>
                </c:pt>
                <c:pt idx="56">
                  <c:v>988.09523809523807</c:v>
                </c:pt>
                <c:pt idx="57">
                  <c:v>1070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1-406B-AA54-3BDB7FAAE071}"/>
            </c:ext>
          </c:extLst>
        </c:ser>
        <c:ser>
          <c:idx val="2"/>
          <c:order val="1"/>
          <c:tx>
            <c:strRef>
              <c:f>'Figure 3'!$C$1</c:f>
              <c:strCache>
                <c:ptCount val="1"/>
                <c:pt idx="0">
                  <c:v>Soybean oil,  Argentina (Up River) (FOB, dollars per ton)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3'!$A$2:$A$59</c:f>
              <c:numCache>
                <c:formatCode>mmm\-yyyy</c:formatCode>
                <c:ptCount val="58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</c:numCache>
            </c:numRef>
          </c:cat>
          <c:val>
            <c:numRef>
              <c:f>'Figure 3'!$C$2:$C$59</c:f>
              <c:numCache>
                <c:formatCode>0</c:formatCode>
                <c:ptCount val="58"/>
                <c:pt idx="0">
                  <c:v>800.26086956521738</c:v>
                </c:pt>
                <c:pt idx="1">
                  <c:v>725.75</c:v>
                </c:pt>
                <c:pt idx="2">
                  <c:v>610.5454545454545</c:v>
                </c:pt>
                <c:pt idx="3">
                  <c:v>589.18181818181813</c:v>
                </c:pt>
                <c:pt idx="4">
                  <c:v>595</c:v>
                </c:pt>
                <c:pt idx="5">
                  <c:v>659.36363636363637</c:v>
                </c:pt>
                <c:pt idx="6">
                  <c:v>709.04347826086962</c:v>
                </c:pt>
                <c:pt idx="7">
                  <c:v>745.76190476190482</c:v>
                </c:pt>
                <c:pt idx="8">
                  <c:v>798.5454545454545</c:v>
                </c:pt>
                <c:pt idx="9">
                  <c:v>821.13636363636363</c:v>
                </c:pt>
                <c:pt idx="10">
                  <c:v>943.61904761904759</c:v>
                </c:pt>
                <c:pt idx="11">
                  <c:v>1021.0434782608696</c:v>
                </c:pt>
                <c:pt idx="12">
                  <c:v>1057.3333333333333</c:v>
                </c:pt>
                <c:pt idx="13">
                  <c:v>1077.8499999999999</c:v>
                </c:pt>
                <c:pt idx="14">
                  <c:v>1209.608695652174</c:v>
                </c:pt>
                <c:pt idx="15">
                  <c:v>1239.9545454545455</c:v>
                </c:pt>
                <c:pt idx="16">
                  <c:v>1348.9047619047619</c:v>
                </c:pt>
                <c:pt idx="17">
                  <c:v>1190.8636363636363</c:v>
                </c:pt>
                <c:pt idx="18">
                  <c:v>1244.3181818181818</c:v>
                </c:pt>
                <c:pt idx="19">
                  <c:v>1301.3636363636363</c:v>
                </c:pt>
                <c:pt idx="20">
                  <c:v>1306.5</c:v>
                </c:pt>
                <c:pt idx="21">
                  <c:v>1397.3809523809523</c:v>
                </c:pt>
                <c:pt idx="22">
                  <c:v>1391.7272727272727</c:v>
                </c:pt>
                <c:pt idx="23">
                  <c:v>1351</c:v>
                </c:pt>
                <c:pt idx="24">
                  <c:v>1372.4285714285713</c:v>
                </c:pt>
                <c:pt idx="25">
                  <c:v>1531.9</c:v>
                </c:pt>
                <c:pt idx="26">
                  <c:v>1759.0869565217392</c:v>
                </c:pt>
                <c:pt idx="27">
                  <c:v>1834.9047619047619</c:v>
                </c:pt>
                <c:pt idx="28">
                  <c:v>1810.1363636363637</c:v>
                </c:pt>
                <c:pt idx="29">
                  <c:v>1596.409090909091</c:v>
                </c:pt>
                <c:pt idx="30">
                  <c:v>1318.4761904761904</c:v>
                </c:pt>
                <c:pt idx="31">
                  <c:v>1370.2608695652175</c:v>
                </c:pt>
                <c:pt idx="32">
                  <c:v>1200.6818181818182</c:v>
                </c:pt>
                <c:pt idx="33">
                  <c:v>1291.9000000000001</c:v>
                </c:pt>
                <c:pt idx="34">
                  <c:v>1381.409090909091</c:v>
                </c:pt>
                <c:pt idx="35">
                  <c:v>1234.090909090909</c:v>
                </c:pt>
                <c:pt idx="36">
                  <c:v>1184.4545454545455</c:v>
                </c:pt>
                <c:pt idx="37">
                  <c:v>1169.8499999999999</c:v>
                </c:pt>
                <c:pt idx="38">
                  <c:v>1059.6521739130435</c:v>
                </c:pt>
                <c:pt idx="39">
                  <c:v>966.6</c:v>
                </c:pt>
                <c:pt idx="40">
                  <c:v>919.91304347826087</c:v>
                </c:pt>
                <c:pt idx="41">
                  <c:v>962.42857142857144</c:v>
                </c:pt>
                <c:pt idx="42">
                  <c:v>1000.2380952380952</c:v>
                </c:pt>
                <c:pt idx="43">
                  <c:v>997.39130434782612</c:v>
                </c:pt>
                <c:pt idx="44">
                  <c:v>928.47619047619048</c:v>
                </c:pt>
                <c:pt idx="45">
                  <c:v>897.90909090909088</c:v>
                </c:pt>
                <c:pt idx="46">
                  <c:v>985.81818181818187</c:v>
                </c:pt>
                <c:pt idx="47">
                  <c:v>884.52380952380952</c:v>
                </c:pt>
                <c:pt idx="48">
                  <c:v>845.91304347826087</c:v>
                </c:pt>
                <c:pt idx="49">
                  <c:v>822.7</c:v>
                </c:pt>
                <c:pt idx="50">
                  <c:v>898.15</c:v>
                </c:pt>
                <c:pt idx="51">
                  <c:v>885.40909090909088</c:v>
                </c:pt>
                <c:pt idx="52">
                  <c:v>898.60869565217388</c:v>
                </c:pt>
                <c:pt idx="53">
                  <c:v>944.9</c:v>
                </c:pt>
                <c:pt idx="54">
                  <c:v>947.60869565217388</c:v>
                </c:pt>
                <c:pt idx="55">
                  <c:v>917.09523809523807</c:v>
                </c:pt>
                <c:pt idx="56">
                  <c:v>941.33333333333337</c:v>
                </c:pt>
                <c:pt idx="57">
                  <c:v>1002.5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1-406B-AA54-3BDB7FAAE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date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Date</a:t>
                </a:r>
              </a:p>
            </c:rich>
          </c:tx>
          <c:layout>
            <c:manualLayout>
              <c:xMode val="edge"/>
              <c:yMode val="edge"/>
              <c:x val="0.46429585545583907"/>
              <c:y val="0.889044592947886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Offset val="100"/>
        <c:baseTimeUnit val="months"/>
      </c:date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Dollars per metric ton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780884672275649E-2"/>
              <c:y val="0.164697877439233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At val="1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999149945904547"/>
          <c:y val="0.12547030126668948"/>
          <c:w val="0.76897118274815068"/>
          <c:h val="7.868527370399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4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baseline="0">
                <a:effectLst/>
              </a:rPr>
              <a:t>Indonesia's palm oil production and distribution</a:t>
            </a:r>
            <a:endParaRPr lang="en-US" sz="2000" b="1">
              <a:effectLst/>
            </a:endParaRPr>
          </a:p>
        </c:rich>
      </c:tx>
      <c:layout>
        <c:manualLayout>
          <c:xMode val="edge"/>
          <c:yMode val="edge"/>
          <c:x val="1.1356877879811603E-2"/>
          <c:y val="7.5477476310225635E-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250271294542874E-2"/>
          <c:y val="0.20358635798797398"/>
          <c:w val="0.90522474690663668"/>
          <c:h val="0.5476421056937024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4'!$C$1</c:f>
              <c:strCache>
                <c:ptCount val="1"/>
                <c:pt idx="0">
                  <c:v>Export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4'!$A$2:$A$11</c:f>
              <c:strCache>
                <c:ptCount val="10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 Sep*</c:v>
                </c:pt>
                <c:pt idx="9">
                  <c:v>2024/25 Oct*</c:v>
                </c:pt>
              </c:strCache>
            </c:strRef>
          </c:cat>
          <c:val>
            <c:numRef>
              <c:f>'Figure 4'!$C$2:$C$11</c:f>
              <c:numCache>
                <c:formatCode>0.0</c:formatCode>
                <c:ptCount val="10"/>
                <c:pt idx="0">
                  <c:v>27.632999999999999</c:v>
                </c:pt>
                <c:pt idx="1">
                  <c:v>26.966999999999999</c:v>
                </c:pt>
                <c:pt idx="2">
                  <c:v>28.279</c:v>
                </c:pt>
                <c:pt idx="3">
                  <c:v>26.248999999999999</c:v>
                </c:pt>
                <c:pt idx="4">
                  <c:v>27.321000000000002</c:v>
                </c:pt>
                <c:pt idx="5">
                  <c:v>22.321000000000002</c:v>
                </c:pt>
                <c:pt idx="6">
                  <c:v>28.077000000000002</c:v>
                </c:pt>
                <c:pt idx="7">
                  <c:v>23</c:v>
                </c:pt>
                <c:pt idx="8">
                  <c:v>26</c:v>
                </c:pt>
                <c:pt idx="9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9-492A-BC0D-5620362887AF}"/>
            </c:ext>
          </c:extLst>
        </c:ser>
        <c:ser>
          <c:idx val="5"/>
          <c:order val="1"/>
          <c:tx>
            <c:strRef>
              <c:f>'Figure 4'!$D$1</c:f>
              <c:strCache>
                <c:ptCount val="1"/>
                <c:pt idx="0">
                  <c:v>Industrial use</c:v>
                </c:pt>
              </c:strCache>
            </c:strRef>
          </c:tx>
          <c:spPr>
            <a:ln w="381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4'!$A$2:$A$11</c:f>
              <c:strCache>
                <c:ptCount val="10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 Sep*</c:v>
                </c:pt>
                <c:pt idx="9">
                  <c:v>2024/25 Oct*</c:v>
                </c:pt>
              </c:strCache>
            </c:strRef>
          </c:cat>
          <c:val>
            <c:numRef>
              <c:f>'Figure 4'!$D$2:$D$11</c:f>
              <c:numCache>
                <c:formatCode>0.0</c:formatCode>
                <c:ptCount val="10"/>
                <c:pt idx="0">
                  <c:v>3.5</c:v>
                </c:pt>
                <c:pt idx="1">
                  <c:v>5.7249999999999996</c:v>
                </c:pt>
                <c:pt idx="2">
                  <c:v>7.45</c:v>
                </c:pt>
                <c:pt idx="3">
                  <c:v>8.3000000000000007</c:v>
                </c:pt>
                <c:pt idx="4">
                  <c:v>9.1999999999999993</c:v>
                </c:pt>
                <c:pt idx="5">
                  <c:v>10.5</c:v>
                </c:pt>
                <c:pt idx="6">
                  <c:v>11.9</c:v>
                </c:pt>
                <c:pt idx="7">
                  <c:v>13.25</c:v>
                </c:pt>
                <c:pt idx="8">
                  <c:v>13.75</c:v>
                </c:pt>
                <c:pt idx="9">
                  <c:v>13.75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69-492A-BC0D-5620362887AF}"/>
            </c:ext>
          </c:extLst>
        </c:ser>
        <c:ser>
          <c:idx val="0"/>
          <c:order val="2"/>
          <c:tx>
            <c:strRef>
              <c:f>'Figure 4'!$E$1</c:f>
              <c:strCache>
                <c:ptCount val="1"/>
                <c:pt idx="0">
                  <c:v>Food use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4'!$A$2:$A$11</c:f>
              <c:strCache>
                <c:ptCount val="10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 Sep*</c:v>
                </c:pt>
                <c:pt idx="9">
                  <c:v>2024/25 Oct*</c:v>
                </c:pt>
              </c:strCache>
            </c:strRef>
          </c:cat>
          <c:val>
            <c:numRef>
              <c:f>'Figure 4'!$E$2:$E$11</c:f>
              <c:numCache>
                <c:formatCode>0.0</c:formatCode>
                <c:ptCount val="10"/>
                <c:pt idx="0">
                  <c:v>5.37</c:v>
                </c:pt>
                <c:pt idx="1">
                  <c:v>5.57</c:v>
                </c:pt>
                <c:pt idx="2">
                  <c:v>5.77</c:v>
                </c:pt>
                <c:pt idx="3">
                  <c:v>6.02</c:v>
                </c:pt>
                <c:pt idx="4">
                  <c:v>6.2249999999999996</c:v>
                </c:pt>
                <c:pt idx="5">
                  <c:v>6.65</c:v>
                </c:pt>
                <c:pt idx="6">
                  <c:v>6.95</c:v>
                </c:pt>
                <c:pt idx="7">
                  <c:v>7.25</c:v>
                </c:pt>
                <c:pt idx="8">
                  <c:v>7.6</c:v>
                </c:pt>
                <c:pt idx="9">
                  <c:v>7.55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69-492A-BC0D-562036288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1"/>
          <c:order val="3"/>
          <c:tx>
            <c:strRef>
              <c:f>'Figure 4'!$B$1</c:f>
              <c:strCache>
                <c:ptCount val="1"/>
                <c:pt idx="0">
                  <c:v>Production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'Figure 4'!$A$2:$A$11</c:f>
              <c:strCache>
                <c:ptCount val="10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 Sep*</c:v>
                </c:pt>
                <c:pt idx="9">
                  <c:v>2024/25 Oct*</c:v>
                </c:pt>
              </c:strCache>
            </c:strRef>
          </c:cat>
          <c:val>
            <c:numRef>
              <c:f>'Figure 4'!$B$2:$B$11</c:f>
              <c:numCache>
                <c:formatCode>0.0</c:formatCode>
                <c:ptCount val="10"/>
                <c:pt idx="0">
                  <c:v>36</c:v>
                </c:pt>
                <c:pt idx="1">
                  <c:v>39.5</c:v>
                </c:pt>
                <c:pt idx="2">
                  <c:v>41.5</c:v>
                </c:pt>
                <c:pt idx="3">
                  <c:v>42.5</c:v>
                </c:pt>
                <c:pt idx="4">
                  <c:v>43.5</c:v>
                </c:pt>
                <c:pt idx="5">
                  <c:v>42</c:v>
                </c:pt>
                <c:pt idx="6">
                  <c:v>45</c:v>
                </c:pt>
                <c:pt idx="7">
                  <c:v>44</c:v>
                </c:pt>
                <c:pt idx="8">
                  <c:v>47</c:v>
                </c:pt>
                <c:pt idx="9">
                  <c:v>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669-492A-BC0D-562036288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Marketing</a:t>
                </a:r>
                <a:r>
                  <a:rPr lang="en-US" b="0" baseline="0"/>
                  <a:t> year</a:t>
                </a:r>
                <a:endParaRPr lang="en-US" b="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1715817500052304E-3"/>
              <c:y val="0.115903845401049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970941132358455"/>
          <c:y val="0.1245292094031531"/>
          <c:w val="0.53374186263290713"/>
          <c:h val="5.3120824509758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466723</xdr:colOff>
      <xdr:row>0</xdr:row>
      <xdr:rowOff>0</xdr:rowOff>
    </xdr:from>
    <xdr:to>
      <xdr:col>15</xdr:col>
      <xdr:colOff>428624</xdr:colOff>
      <xdr:row>24</xdr:row>
      <xdr:rowOff>70485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8854BE1-DBB2-2823-5C58-80D123EF8D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0.86815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748969"/>
          <a:ext cx="6419496" cy="543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 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USDA, World Agricultural Outlook Board, </a:t>
          </a:r>
          <a:r>
            <a:rPr kumimoji="0" lang="en-US" sz="9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October 2024.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51859</xdr:colOff>
      <xdr:row>0</xdr:row>
      <xdr:rowOff>23284</xdr:rowOff>
    </xdr:from>
    <xdr:to>
      <xdr:col>17</xdr:col>
      <xdr:colOff>23283</xdr:colOff>
      <xdr:row>20</xdr:row>
      <xdr:rowOff>24342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FAE4DA7-6715-6136-C35E-EAC9BECDD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0.86004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79610"/>
          <a:ext cx="6425846" cy="526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 =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Marketing year.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USDA, World Agricultural Outlook Board,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World Agricultural Supply and Demand Estimates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, October 2024.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82973</xdr:colOff>
      <xdr:row>0</xdr:row>
      <xdr:rowOff>0</xdr:rowOff>
    </xdr:from>
    <xdr:to>
      <xdr:col>15</xdr:col>
      <xdr:colOff>558801</xdr:colOff>
      <xdr:row>27</xdr:row>
      <xdr:rowOff>60112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D4C7AD-CCCD-4B2D-BA4E-AB95556C8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0.91515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835399"/>
          <a:ext cx="7359348" cy="355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FOB = Free On Board.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International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Grains Council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114302</xdr:colOff>
      <xdr:row>0</xdr:row>
      <xdr:rowOff>0</xdr:rowOff>
    </xdr:from>
    <xdr:to>
      <xdr:col>16</xdr:col>
      <xdr:colOff>201084</xdr:colOff>
      <xdr:row>22</xdr:row>
      <xdr:rowOff>79375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7A08AFC1-C2CF-4082-8689-E5D84FB75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0.86815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748969"/>
          <a:ext cx="6419496" cy="543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 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 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database, October 2024.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workbookViewId="0"/>
  </sheetViews>
  <sheetFormatPr defaultColWidth="9.5703125" defaultRowHeight="14.25"/>
  <cols>
    <col min="1" max="1" width="166.7109375" style="12" customWidth="1"/>
    <col min="2" max="16384" width="9.5703125" style="1"/>
  </cols>
  <sheetData>
    <row r="1" spans="1:3">
      <c r="B1" s="82"/>
      <c r="C1" s="82"/>
    </row>
    <row r="2" spans="1:3" s="2" customFormat="1" ht="15">
      <c r="A2" s="7" t="s">
        <v>0</v>
      </c>
    </row>
    <row r="3" spans="1:3">
      <c r="A3" s="8"/>
      <c r="B3" s="3"/>
      <c r="C3" s="2"/>
    </row>
    <row r="4" spans="1:3">
      <c r="A4" s="10" t="s">
        <v>1</v>
      </c>
      <c r="B4" s="4"/>
      <c r="C4" s="82"/>
    </row>
    <row r="5" spans="1:3">
      <c r="A5" s="10" t="s">
        <v>2</v>
      </c>
      <c r="B5" s="4"/>
      <c r="C5" s="82"/>
    </row>
    <row r="6" spans="1:3">
      <c r="A6" s="10" t="s">
        <v>3</v>
      </c>
      <c r="B6" s="4"/>
      <c r="C6" s="82"/>
    </row>
    <row r="7" spans="1:3">
      <c r="A7" s="10" t="s">
        <v>4</v>
      </c>
      <c r="B7" s="4"/>
      <c r="C7" s="82"/>
    </row>
    <row r="8" spans="1:3">
      <c r="A8" s="10" t="s">
        <v>5</v>
      </c>
      <c r="B8" s="4"/>
      <c r="C8" s="82"/>
    </row>
    <row r="9" spans="1:3">
      <c r="A9" s="10" t="s">
        <v>6</v>
      </c>
      <c r="B9" s="4"/>
      <c r="C9" s="82"/>
    </row>
    <row r="10" spans="1:3">
      <c r="A10" s="10" t="s">
        <v>7</v>
      </c>
      <c r="B10" s="4"/>
      <c r="C10" s="82"/>
    </row>
    <row r="11" spans="1:3">
      <c r="A11" s="10" t="s">
        <v>8</v>
      </c>
      <c r="B11" s="4"/>
      <c r="C11" s="82"/>
    </row>
    <row r="12" spans="1:3">
      <c r="A12" s="10" t="s">
        <v>9</v>
      </c>
      <c r="B12" s="4"/>
      <c r="C12" s="82"/>
    </row>
    <row r="13" spans="1:3">
      <c r="A13" s="10" t="s">
        <v>10</v>
      </c>
      <c r="B13" s="4"/>
      <c r="C13" s="82"/>
    </row>
    <row r="14" spans="1:3">
      <c r="A14" s="11" t="s">
        <v>11</v>
      </c>
      <c r="B14" s="4"/>
      <c r="C14" s="82"/>
    </row>
    <row r="15" spans="1:3">
      <c r="A15" s="11" t="s">
        <v>12</v>
      </c>
      <c r="B15" s="82"/>
      <c r="C15" s="82"/>
    </row>
    <row r="16" spans="1:3" ht="12.75">
      <c r="A16" s="82"/>
      <c r="B16" s="82"/>
      <c r="C16" s="82"/>
    </row>
    <row r="17" spans="1:3" ht="15">
      <c r="A17" s="7" t="s">
        <v>13</v>
      </c>
      <c r="B17" s="82"/>
      <c r="C17" s="82"/>
    </row>
    <row r="18" spans="1:3" ht="15">
      <c r="A18" s="9">
        <v>45581</v>
      </c>
    </row>
  </sheetData>
  <hyperlinks>
    <hyperlink ref="A4" location="'Table 1'!A1" display="Table 1--Soybeans:  Annual U.S. supply and disappearance" xr:uid="{00000000-0004-0000-0000-000000000000}"/>
    <hyperlink ref="A5" location="'Table 2'!A1" display="Table 2--Soybean meal:  U.S. supply and disappearance" xr:uid="{00000000-0004-0000-0000-000001000000}"/>
    <hyperlink ref="A6" location="'Table 3'!A1" display="Table 3--Soybean oil:  U.S. supply and disappearance" xr:uid="{00000000-0004-0000-0000-000002000000}"/>
    <hyperlink ref="A7" location="'Tables 4-7'!A1" display="Table 4--Cottonseed:  U.S. supply and disappearance" xr:uid="{00000000-0004-0000-0000-000003000000}"/>
    <hyperlink ref="A8" location="'Tables 4-7'!A1" display="Table 5--Cottonseed meal:  U.S. supply and disappearance" xr:uid="{00000000-0004-0000-0000-000004000000}"/>
    <hyperlink ref="A9" location="'Tables 4-7'!A1" display="Table 6--Cottonseed oil:  U.S. supply and disappearance" xr:uid="{00000000-0004-0000-0000-000005000000}"/>
    <hyperlink ref="A10" location="'Tables 4-7'!A1" display="Table 7--Peanuts:  U.S. supply and disappearance" xr:uid="{00000000-0004-0000-0000-000006000000}"/>
    <hyperlink ref="A11" location="'Table 8'!A1" display="Table 8--Oilseed prices received by U.S. farmers" xr:uid="{00000000-0004-0000-0000-000007000000}"/>
    <hyperlink ref="A12" location="'Table 9'!A1" display="Table 9--U.S. vegetable oil and fats prices" xr:uid="{00000000-0004-0000-0000-000008000000}"/>
    <hyperlink ref="A13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8A532-EE07-4C9F-9900-CAAF27E58E31}">
  <dimension ref="A1:L81"/>
  <sheetViews>
    <sheetView zoomScale="90" zoomScaleNormal="90" workbookViewId="0">
      <selection activeCell="G92" sqref="G92"/>
    </sheetView>
  </sheetViews>
  <sheetFormatPr defaultColWidth="9.28515625" defaultRowHeight="14.25"/>
  <cols>
    <col min="1" max="1" width="16.7109375" style="137" customWidth="1"/>
    <col min="2" max="2" width="13.140625" style="137" customWidth="1"/>
    <col min="3" max="3" width="19.85546875" style="137" bestFit="1" customWidth="1"/>
    <col min="4" max="5" width="9.28515625" style="137" customWidth="1"/>
    <col min="6" max="8" width="7.7109375" style="137" customWidth="1"/>
    <col min="9" max="9" width="9.28515625" style="137"/>
    <col min="10" max="12" width="11" style="137" bestFit="1" customWidth="1"/>
    <col min="13" max="16384" width="9.28515625" style="137"/>
  </cols>
  <sheetData>
    <row r="1" spans="1:12" ht="34.5" customHeight="1">
      <c r="A1" s="152" t="s">
        <v>159</v>
      </c>
      <c r="B1" s="136" t="s">
        <v>164</v>
      </c>
      <c r="C1" s="136" t="s">
        <v>165</v>
      </c>
      <c r="D1" s="136" t="s">
        <v>22</v>
      </c>
      <c r="E1" s="136" t="s">
        <v>31</v>
      </c>
      <c r="F1" s="136" t="s">
        <v>27</v>
      </c>
      <c r="G1" s="145"/>
      <c r="H1" s="145"/>
      <c r="I1" s="145"/>
      <c r="J1" s="145"/>
      <c r="K1" s="145"/>
      <c r="L1" s="145"/>
    </row>
    <row r="2" spans="1:12">
      <c r="A2" s="83" t="s">
        <v>166</v>
      </c>
      <c r="B2" s="182">
        <v>2539.4</v>
      </c>
      <c r="C2" s="182">
        <v>606.20000000000005</v>
      </c>
      <c r="D2" s="182">
        <v>394.3</v>
      </c>
      <c r="E2" s="182">
        <v>491.5</v>
      </c>
      <c r="F2" s="182">
        <v>4288.2</v>
      </c>
      <c r="G2"/>
      <c r="H2"/>
      <c r="I2"/>
      <c r="J2"/>
      <c r="K2"/>
      <c r="L2"/>
    </row>
    <row r="3" spans="1:12">
      <c r="A3" s="83" t="s">
        <v>167</v>
      </c>
      <c r="B3" s="182">
        <v>2539</v>
      </c>
      <c r="C3" s="182">
        <v>575.6</v>
      </c>
      <c r="D3" s="182">
        <v>543.70000000000005</v>
      </c>
      <c r="E3" s="182">
        <v>491.6</v>
      </c>
      <c r="F3" s="182">
        <v>4869.8999999999996</v>
      </c>
      <c r="G3"/>
      <c r="H3"/>
      <c r="I3"/>
      <c r="J3"/>
      <c r="K3"/>
      <c r="L3"/>
    </row>
    <row r="4" spans="1:12">
      <c r="A4" s="83" t="s">
        <v>168</v>
      </c>
      <c r="B4" s="182">
        <v>2528.1</v>
      </c>
      <c r="C4" s="182">
        <v>526.70000000000005</v>
      </c>
      <c r="D4" s="182">
        <v>513.79999999999995</v>
      </c>
      <c r="E4" s="182">
        <v>603.1</v>
      </c>
      <c r="F4" s="182">
        <v>3464.3</v>
      </c>
      <c r="G4"/>
      <c r="H4"/>
      <c r="I4"/>
      <c r="J4"/>
      <c r="K4"/>
      <c r="L4"/>
    </row>
    <row r="5" spans="1:12">
      <c r="A5" s="83" t="s">
        <v>169</v>
      </c>
      <c r="B5" s="182">
        <v>2487.1</v>
      </c>
      <c r="C5" s="182">
        <v>499.3</v>
      </c>
      <c r="D5" s="182">
        <v>497.3</v>
      </c>
      <c r="E5" s="182">
        <v>750.3</v>
      </c>
      <c r="F5" s="182">
        <v>3672.3</v>
      </c>
      <c r="G5"/>
      <c r="H5"/>
      <c r="I5"/>
      <c r="J5"/>
      <c r="K5"/>
      <c r="L5"/>
    </row>
    <row r="6" spans="1:12">
      <c r="A6" s="83" t="s">
        <v>170</v>
      </c>
      <c r="B6" s="182">
        <v>2518</v>
      </c>
      <c r="C6" s="182">
        <v>459</v>
      </c>
      <c r="D6" s="182">
        <v>445.7</v>
      </c>
      <c r="E6" s="182">
        <v>726.7</v>
      </c>
      <c r="F6" s="182">
        <v>5162.3999999999996</v>
      </c>
      <c r="G6"/>
      <c r="H6"/>
      <c r="I6"/>
      <c r="J6"/>
      <c r="K6"/>
      <c r="L6"/>
    </row>
    <row r="7" spans="1:12">
      <c r="A7" s="83" t="s">
        <v>171</v>
      </c>
      <c r="B7" s="182">
        <v>2610.9</v>
      </c>
      <c r="C7" s="182">
        <v>426</v>
      </c>
      <c r="D7" s="182">
        <v>435.7</v>
      </c>
      <c r="E7" s="182">
        <v>592.4</v>
      </c>
      <c r="F7" s="182">
        <v>3691.7</v>
      </c>
      <c r="G7"/>
      <c r="H7"/>
      <c r="I7"/>
      <c r="J7"/>
      <c r="K7"/>
      <c r="L7"/>
    </row>
    <row r="8" spans="1:12">
      <c r="A8" s="138" t="s">
        <v>111</v>
      </c>
      <c r="B8" s="183">
        <v>2803.9</v>
      </c>
      <c r="C8" s="70">
        <v>536.5</v>
      </c>
      <c r="D8" s="70">
        <v>588</v>
      </c>
      <c r="E8" s="70">
        <v>606.1</v>
      </c>
      <c r="F8" s="70">
        <v>4156.8</v>
      </c>
    </row>
    <row r="9" spans="1:12">
      <c r="A9" s="138" t="s">
        <v>112</v>
      </c>
      <c r="B9" s="183">
        <v>2773.3</v>
      </c>
      <c r="C9" s="70">
        <v>500.6</v>
      </c>
      <c r="D9" s="70">
        <v>605.1</v>
      </c>
      <c r="E9" s="70">
        <v>546.20000000000005</v>
      </c>
      <c r="F9" s="70">
        <v>3658.6</v>
      </c>
    </row>
    <row r="10" spans="1:12">
      <c r="A10" s="138" t="s">
        <v>113</v>
      </c>
      <c r="B10" s="183">
        <v>2794.3</v>
      </c>
      <c r="C10" s="70">
        <v>463.3</v>
      </c>
      <c r="D10" s="70">
        <v>657.6</v>
      </c>
      <c r="E10" s="70">
        <v>1190.2</v>
      </c>
      <c r="F10" s="70">
        <v>6753.9</v>
      </c>
    </row>
    <row r="11" spans="1:12">
      <c r="A11" s="138" t="s">
        <v>114</v>
      </c>
      <c r="B11" s="183">
        <v>2867.1</v>
      </c>
      <c r="C11" s="70">
        <v>547.6</v>
      </c>
      <c r="D11" s="70">
        <v>663</v>
      </c>
      <c r="E11" s="70">
        <v>1096.2</v>
      </c>
      <c r="F11" s="70">
        <v>4173.2</v>
      </c>
    </row>
    <row r="12" spans="1:12">
      <c r="A12" s="138" t="s">
        <v>115</v>
      </c>
      <c r="B12" s="183">
        <v>2981.9</v>
      </c>
      <c r="C12" s="70">
        <v>298</v>
      </c>
      <c r="D12" s="70">
        <v>675.6</v>
      </c>
      <c r="E12" s="70">
        <v>1079.7</v>
      </c>
      <c r="F12" s="70">
        <v>5188.7</v>
      </c>
    </row>
    <row r="13" spans="1:12">
      <c r="A13" s="138" t="s">
        <v>116</v>
      </c>
      <c r="B13" s="183">
        <v>3096.8</v>
      </c>
      <c r="C13" s="70">
        <v>1055.7</v>
      </c>
      <c r="D13" s="70">
        <v>709</v>
      </c>
      <c r="E13" s="70">
        <v>1544.3</v>
      </c>
      <c r="F13" s="70">
        <v>6001.4</v>
      </c>
    </row>
    <row r="14" spans="1:12">
      <c r="A14" s="138" t="s">
        <v>117</v>
      </c>
      <c r="B14" s="183">
        <v>3109.3</v>
      </c>
      <c r="C14" s="70">
        <v>775.4</v>
      </c>
      <c r="D14" s="70">
        <v>879.9</v>
      </c>
      <c r="E14" s="70">
        <v>1327.9</v>
      </c>
      <c r="F14" s="70">
        <v>5581.6</v>
      </c>
    </row>
    <row r="15" spans="1:12">
      <c r="A15" s="138" t="s">
        <v>118</v>
      </c>
      <c r="B15" s="183">
        <v>3174.9</v>
      </c>
      <c r="C15" s="70">
        <v>858.8</v>
      </c>
      <c r="D15" s="70">
        <v>705</v>
      </c>
      <c r="E15" s="70">
        <v>1271.5999999999999</v>
      </c>
      <c r="F15" s="70">
        <v>7115.4</v>
      </c>
    </row>
    <row r="16" spans="1:12">
      <c r="A16" s="138" t="s">
        <v>119</v>
      </c>
      <c r="B16" s="183">
        <v>3154</v>
      </c>
      <c r="C16" s="70">
        <v>902.7</v>
      </c>
      <c r="D16" s="70">
        <v>648.5</v>
      </c>
      <c r="E16" s="70">
        <v>1199.4000000000001</v>
      </c>
      <c r="F16" s="70">
        <v>5491.6</v>
      </c>
    </row>
    <row r="17" spans="1:6">
      <c r="A17" s="138" t="s">
        <v>120</v>
      </c>
      <c r="B17" s="183">
        <v>3261.1</v>
      </c>
      <c r="C17" s="70">
        <v>236.6</v>
      </c>
      <c r="D17" s="70">
        <v>774.2</v>
      </c>
      <c r="E17" s="70">
        <v>1610.3</v>
      </c>
      <c r="F17" s="70">
        <v>5464.8</v>
      </c>
    </row>
    <row r="18" spans="1:6">
      <c r="A18" s="138" t="s">
        <v>121</v>
      </c>
      <c r="B18" s="183">
        <v>3369.5</v>
      </c>
      <c r="C18" s="70">
        <v>762.1</v>
      </c>
      <c r="D18" s="70">
        <v>872.9</v>
      </c>
      <c r="E18" s="70">
        <v>1429.3</v>
      </c>
      <c r="F18" s="70">
        <v>6162.8</v>
      </c>
    </row>
    <row r="19" spans="1:6">
      <c r="A19" s="140" t="s">
        <v>122</v>
      </c>
      <c r="B19" s="120">
        <v>3322.4</v>
      </c>
      <c r="C19" s="70">
        <v>725.1</v>
      </c>
      <c r="D19" s="70">
        <v>842.4</v>
      </c>
      <c r="E19" s="70">
        <v>1184.0999999999999</v>
      </c>
      <c r="F19" s="70">
        <v>6359.2</v>
      </c>
    </row>
    <row r="20" spans="1:6">
      <c r="A20" s="140" t="s">
        <v>35</v>
      </c>
      <c r="B20" s="120">
        <v>3298.5</v>
      </c>
      <c r="C20" s="70">
        <v>681.8</v>
      </c>
      <c r="D20" s="70">
        <v>794.7</v>
      </c>
      <c r="E20" s="70">
        <v>1197.0999999999999</v>
      </c>
      <c r="F20" s="70">
        <v>5541.8</v>
      </c>
    </row>
    <row r="21" spans="1:6">
      <c r="A21" s="140" t="s">
        <v>54</v>
      </c>
      <c r="B21" s="120">
        <v>3123.4</v>
      </c>
      <c r="C21" s="70">
        <v>1301.4000000000001</v>
      </c>
      <c r="D21" s="70">
        <v>654.20000000000005</v>
      </c>
      <c r="E21" s="70">
        <v>1455.3</v>
      </c>
      <c r="F21" s="70">
        <v>5877.6</v>
      </c>
    </row>
    <row r="22" spans="1:6">
      <c r="A22" s="140" t="s">
        <v>163</v>
      </c>
      <c r="B22" s="120">
        <v>3159.5</v>
      </c>
      <c r="C22" s="70">
        <v>1271.3</v>
      </c>
      <c r="D22" s="70">
        <v>800</v>
      </c>
      <c r="E22" s="70">
        <v>1200</v>
      </c>
      <c r="F22" s="70">
        <v>6441.4</v>
      </c>
    </row>
    <row r="23" spans="1:6">
      <c r="A23" s="140"/>
      <c r="B23" s="140"/>
    </row>
    <row r="24" spans="1:6">
      <c r="A24" s="140"/>
      <c r="B24" s="181"/>
      <c r="C24" s="181"/>
      <c r="D24" s="181"/>
      <c r="E24" s="181"/>
      <c r="F24" s="181"/>
    </row>
    <row r="25" spans="1:6">
      <c r="A25" s="140"/>
      <c r="B25" s="181"/>
      <c r="C25" s="181"/>
      <c r="D25" s="181"/>
      <c r="E25" s="181"/>
      <c r="F25" s="181"/>
    </row>
    <row r="26" spans="1:6">
      <c r="A26" s="140"/>
      <c r="B26" s="181"/>
      <c r="C26" s="181"/>
      <c r="D26" s="181"/>
      <c r="E26" s="181"/>
      <c r="F26" s="181"/>
    </row>
    <row r="27" spans="1:6">
      <c r="A27" s="140"/>
      <c r="B27" s="181"/>
      <c r="C27" s="181"/>
      <c r="D27" s="181"/>
      <c r="E27" s="181"/>
      <c r="F27" s="181"/>
    </row>
    <row r="28" spans="1:6">
      <c r="A28" s="140"/>
      <c r="B28" s="181"/>
      <c r="C28" s="181"/>
      <c r="D28" s="181"/>
      <c r="E28" s="181"/>
      <c r="F28" s="181"/>
    </row>
    <row r="29" spans="1:6">
      <c r="A29" s="140"/>
      <c r="B29" s="181"/>
      <c r="C29" s="181"/>
      <c r="D29" s="181"/>
      <c r="E29" s="181"/>
      <c r="F29" s="181"/>
    </row>
    <row r="30" spans="1:6">
      <c r="A30" s="140"/>
      <c r="B30" s="181"/>
      <c r="C30" s="181"/>
      <c r="D30" s="181"/>
      <c r="E30" s="181"/>
      <c r="F30" s="181"/>
    </row>
    <row r="31" spans="1:6">
      <c r="A31" s="140"/>
      <c r="B31" s="181"/>
      <c r="C31" s="181"/>
      <c r="D31" s="181"/>
      <c r="E31" s="181"/>
      <c r="F31" s="181"/>
    </row>
    <row r="32" spans="1:6">
      <c r="A32" s="140"/>
      <c r="B32" s="181"/>
      <c r="C32" s="181"/>
      <c r="D32" s="181"/>
      <c r="E32" s="181"/>
      <c r="F32" s="181"/>
    </row>
    <row r="33" spans="1:6">
      <c r="A33" s="140"/>
      <c r="B33" s="181"/>
      <c r="C33" s="181"/>
      <c r="D33" s="181"/>
      <c r="E33" s="181"/>
      <c r="F33" s="181"/>
    </row>
    <row r="34" spans="1:6">
      <c r="A34" s="140"/>
      <c r="B34" s="181"/>
      <c r="C34" s="181"/>
      <c r="D34" s="181"/>
      <c r="E34" s="181"/>
      <c r="F34" s="181"/>
    </row>
    <row r="35" spans="1:6">
      <c r="A35" s="140"/>
      <c r="B35" s="181"/>
      <c r="C35" s="181"/>
      <c r="D35" s="181"/>
      <c r="E35" s="181"/>
      <c r="F35" s="181"/>
    </row>
    <row r="36" spans="1:6">
      <c r="A36" s="140"/>
      <c r="B36" s="181"/>
      <c r="C36" s="181"/>
      <c r="D36" s="181"/>
      <c r="E36" s="181"/>
      <c r="F36" s="181"/>
    </row>
    <row r="37" spans="1:6">
      <c r="A37" s="140"/>
      <c r="B37" s="181"/>
      <c r="C37" s="181"/>
      <c r="D37" s="181"/>
      <c r="E37" s="181"/>
      <c r="F37" s="181"/>
    </row>
    <row r="38" spans="1:6">
      <c r="A38" s="140"/>
      <c r="B38" s="181"/>
      <c r="C38" s="181"/>
      <c r="D38" s="181"/>
      <c r="E38" s="181"/>
      <c r="F38" s="181"/>
    </row>
    <row r="39" spans="1:6">
      <c r="A39" s="140"/>
      <c r="B39" s="181"/>
      <c r="C39" s="181"/>
      <c r="D39" s="181"/>
      <c r="E39" s="181"/>
      <c r="F39" s="181"/>
    </row>
    <row r="40" spans="1:6">
      <c r="A40" s="140"/>
      <c r="B40" s="181"/>
      <c r="C40" s="181"/>
      <c r="D40" s="181"/>
      <c r="E40" s="181"/>
      <c r="F40" s="181"/>
    </row>
    <row r="41" spans="1:6">
      <c r="A41" s="140"/>
      <c r="B41" s="181"/>
      <c r="C41" s="181"/>
      <c r="D41" s="181"/>
      <c r="E41" s="181"/>
      <c r="F41" s="181"/>
    </row>
    <row r="42" spans="1:6">
      <c r="A42" s="140"/>
      <c r="B42" s="181"/>
      <c r="C42" s="181"/>
      <c r="D42" s="181"/>
      <c r="E42" s="181"/>
      <c r="F42" s="181"/>
    </row>
    <row r="43" spans="1:6">
      <c r="A43" s="140"/>
      <c r="B43" s="181"/>
      <c r="C43" s="181"/>
      <c r="D43" s="181"/>
      <c r="E43" s="181"/>
      <c r="F43" s="181"/>
    </row>
    <row r="44" spans="1:6">
      <c r="A44" s="140"/>
      <c r="B44" s="181"/>
      <c r="C44" s="181"/>
      <c r="D44" s="181"/>
      <c r="E44" s="181"/>
      <c r="F44" s="181"/>
    </row>
    <row r="45" spans="1:6">
      <c r="A45" s="140"/>
      <c r="B45" s="181"/>
      <c r="C45" s="181"/>
      <c r="D45" s="181"/>
      <c r="E45" s="181"/>
      <c r="F45" s="181"/>
    </row>
    <row r="46" spans="1:6">
      <c r="A46" s="140"/>
      <c r="B46" s="140"/>
    </row>
    <row r="47" spans="1:6">
      <c r="A47" s="140"/>
      <c r="B47" s="140"/>
    </row>
    <row r="48" spans="1:6">
      <c r="A48" s="140"/>
      <c r="B48" s="140"/>
    </row>
    <row r="49" spans="1:2">
      <c r="A49" s="140"/>
      <c r="B49" s="140"/>
    </row>
    <row r="50" spans="1:2">
      <c r="A50" s="140"/>
      <c r="B50" s="140"/>
    </row>
    <row r="51" spans="1:2">
      <c r="A51" s="140"/>
      <c r="B51" s="140"/>
    </row>
    <row r="52" spans="1:2">
      <c r="A52" s="140"/>
      <c r="B52" s="140"/>
    </row>
    <row r="53" spans="1:2">
      <c r="A53" s="140"/>
      <c r="B53" s="140"/>
    </row>
    <row r="54" spans="1:2">
      <c r="A54" s="140"/>
      <c r="B54" s="140"/>
    </row>
    <row r="55" spans="1:2">
      <c r="A55" s="140"/>
      <c r="B55" s="140"/>
    </row>
    <row r="56" spans="1:2">
      <c r="A56" s="140"/>
      <c r="B56" s="140"/>
    </row>
    <row r="57" spans="1:2">
      <c r="A57" s="140"/>
      <c r="B57" s="140"/>
    </row>
    <row r="58" spans="1:2">
      <c r="A58" s="140"/>
      <c r="B58" s="140"/>
    </row>
    <row r="59" spans="1:2">
      <c r="A59" s="140"/>
      <c r="B59" s="140"/>
    </row>
    <row r="60" spans="1:2">
      <c r="A60" s="140"/>
      <c r="B60" s="140"/>
    </row>
    <row r="61" spans="1:2">
      <c r="A61" s="140"/>
      <c r="B61" s="140"/>
    </row>
    <row r="62" spans="1:2">
      <c r="A62" s="140"/>
      <c r="B62" s="140"/>
    </row>
    <row r="63" spans="1:2">
      <c r="A63" s="140"/>
      <c r="B63" s="140"/>
    </row>
    <row r="64" spans="1:2">
      <c r="A64" s="140"/>
      <c r="B64" s="140"/>
    </row>
    <row r="65" spans="1:2">
      <c r="A65" s="140"/>
      <c r="B65" s="140"/>
    </row>
    <row r="66" spans="1:2">
      <c r="A66" s="140"/>
      <c r="B66" s="140"/>
    </row>
    <row r="67" spans="1:2">
      <c r="A67" s="140"/>
      <c r="B67" s="140"/>
    </row>
    <row r="68" spans="1:2">
      <c r="A68" s="140"/>
      <c r="B68" s="140"/>
    </row>
    <row r="69" spans="1:2">
      <c r="A69" s="140"/>
      <c r="B69" s="140"/>
    </row>
    <row r="70" spans="1:2">
      <c r="A70" s="140"/>
      <c r="B70" s="140"/>
    </row>
    <row r="71" spans="1:2">
      <c r="A71" s="140"/>
      <c r="B71" s="140"/>
    </row>
    <row r="72" spans="1:2">
      <c r="A72" s="140"/>
      <c r="B72" s="140"/>
    </row>
    <row r="73" spans="1:2">
      <c r="A73" s="140"/>
      <c r="B73" s="140"/>
    </row>
    <row r="74" spans="1:2">
      <c r="A74" s="140"/>
      <c r="B74" s="140"/>
    </row>
    <row r="75" spans="1:2">
      <c r="A75" s="140"/>
      <c r="B75" s="140"/>
    </row>
    <row r="76" spans="1:2">
      <c r="A76" s="140"/>
      <c r="B76" s="140"/>
    </row>
    <row r="77" spans="1:2">
      <c r="A77" s="140"/>
      <c r="B77" s="140"/>
    </row>
    <row r="78" spans="1:2">
      <c r="A78" s="140"/>
      <c r="B78" s="140"/>
    </row>
    <row r="79" spans="1:2">
      <c r="A79" s="140"/>
      <c r="B79" s="140"/>
    </row>
    <row r="80" spans="1:2">
      <c r="A80" s="140"/>
      <c r="B80" s="140"/>
    </row>
    <row r="81" spans="1:2">
      <c r="A81" s="140"/>
      <c r="B81" s="14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87314-56A8-4D87-9B38-645C163AFA37}">
  <dimension ref="A1:D71"/>
  <sheetViews>
    <sheetView zoomScale="90" zoomScaleNormal="90" workbookViewId="0">
      <pane xSplit="1" ySplit="1" topLeftCell="B2" activePane="bottomRight" state="frozen"/>
      <selection pane="bottomRight" activeCell="E107" sqref="E107"/>
      <selection pane="bottomLeft"/>
      <selection pane="topRight"/>
    </sheetView>
  </sheetViews>
  <sheetFormatPr defaultColWidth="8.85546875" defaultRowHeight="12.75"/>
  <cols>
    <col min="1" max="1" width="15.7109375" style="155" bestFit="1" customWidth="1"/>
    <col min="2" max="2" width="23.7109375" style="155" customWidth="1"/>
    <col min="3" max="3" width="36.85546875" style="155" customWidth="1"/>
    <col min="4" max="16384" width="8.85546875" style="155"/>
  </cols>
  <sheetData>
    <row r="1" spans="1:3" ht="26.25">
      <c r="A1" s="154" t="s">
        <v>172</v>
      </c>
      <c r="B1" s="168" t="s">
        <v>173</v>
      </c>
      <c r="C1" s="169" t="s">
        <v>174</v>
      </c>
    </row>
    <row r="2" spans="1:3">
      <c r="A2" s="156">
        <v>43831</v>
      </c>
      <c r="B2" s="157">
        <v>759.67391304347825</v>
      </c>
      <c r="C2" s="157">
        <v>800.26086956521738</v>
      </c>
    </row>
    <row r="3" spans="1:3">
      <c r="A3" s="156">
        <v>43862</v>
      </c>
      <c r="B3" s="157">
        <v>673.875</v>
      </c>
      <c r="C3" s="157">
        <v>725.75</v>
      </c>
    </row>
    <row r="4" spans="1:3">
      <c r="A4" s="156">
        <v>43891</v>
      </c>
      <c r="B4" s="157">
        <v>585.90909090909088</v>
      </c>
      <c r="C4" s="157">
        <v>610.5454545454545</v>
      </c>
    </row>
    <row r="5" spans="1:3">
      <c r="A5" s="156">
        <v>43922</v>
      </c>
      <c r="B5" s="157">
        <v>561.59090909090912</v>
      </c>
      <c r="C5" s="157">
        <v>589.18181818181813</v>
      </c>
    </row>
    <row r="6" spans="1:3">
      <c r="A6" s="156">
        <v>43952</v>
      </c>
      <c r="B6" s="157">
        <v>529.28571428571433</v>
      </c>
      <c r="C6" s="157">
        <v>595</v>
      </c>
    </row>
    <row r="7" spans="1:3">
      <c r="A7" s="156">
        <v>43983</v>
      </c>
      <c r="B7" s="157">
        <v>603.86363636363637</v>
      </c>
      <c r="C7" s="157">
        <v>659.36363636363637</v>
      </c>
    </row>
    <row r="8" spans="1:3">
      <c r="A8" s="156">
        <v>44013</v>
      </c>
      <c r="B8" s="157">
        <v>645.97826086956525</v>
      </c>
      <c r="C8" s="157">
        <v>709.04347826086962</v>
      </c>
    </row>
    <row r="9" spans="1:3">
      <c r="A9" s="156">
        <v>44044</v>
      </c>
      <c r="B9" s="157">
        <v>710.35714285714289</v>
      </c>
      <c r="C9" s="157">
        <v>745.76190476190482</v>
      </c>
    </row>
    <row r="10" spans="1:3">
      <c r="A10" s="156">
        <v>44075</v>
      </c>
      <c r="B10" s="157">
        <v>746.25</v>
      </c>
      <c r="C10" s="157">
        <v>798.5454545454545</v>
      </c>
    </row>
    <row r="11" spans="1:3">
      <c r="A11" s="156">
        <v>44105</v>
      </c>
      <c r="B11" s="157">
        <v>770.68181818181813</v>
      </c>
      <c r="C11" s="157">
        <v>821.13636363636363</v>
      </c>
    </row>
    <row r="12" spans="1:3">
      <c r="A12" s="156">
        <v>44136</v>
      </c>
      <c r="B12" s="157">
        <v>866.90476190476193</v>
      </c>
      <c r="C12" s="157">
        <v>943.61904761904759</v>
      </c>
    </row>
    <row r="13" spans="1:3">
      <c r="A13" s="156">
        <v>44166</v>
      </c>
      <c r="B13" s="157">
        <v>934.89130434782612</v>
      </c>
      <c r="C13" s="157">
        <v>1021.0434782608696</v>
      </c>
    </row>
    <row r="14" spans="1:3">
      <c r="A14" s="156">
        <v>44197</v>
      </c>
      <c r="B14" s="157">
        <v>990.11904761904759</v>
      </c>
      <c r="C14" s="157">
        <v>1057.3333333333333</v>
      </c>
    </row>
    <row r="15" spans="1:3">
      <c r="A15" s="156">
        <v>44228</v>
      </c>
      <c r="B15" s="157">
        <v>1020</v>
      </c>
      <c r="C15" s="157">
        <v>1077.8499999999999</v>
      </c>
    </row>
    <row r="16" spans="1:3">
      <c r="A16" s="156">
        <v>44256</v>
      </c>
      <c r="B16" s="158">
        <v>1040</v>
      </c>
      <c r="C16" s="157">
        <v>1209.608695652174</v>
      </c>
    </row>
    <row r="17" spans="1:3">
      <c r="A17" s="156">
        <v>44287</v>
      </c>
      <c r="B17" s="157">
        <v>1083.5227272727273</v>
      </c>
      <c r="C17" s="157">
        <v>1239.9545454545455</v>
      </c>
    </row>
    <row r="18" spans="1:3">
      <c r="A18" s="156">
        <v>44317</v>
      </c>
      <c r="B18" s="157">
        <v>1165.7142857142858</v>
      </c>
      <c r="C18" s="157">
        <v>1348.9047619047619</v>
      </c>
    </row>
    <row r="19" spans="1:3">
      <c r="A19" s="156">
        <v>44348</v>
      </c>
      <c r="B19" s="157">
        <v>1011.8181818181819</v>
      </c>
      <c r="C19" s="157">
        <v>1190.8636363636363</v>
      </c>
    </row>
    <row r="20" spans="1:3">
      <c r="A20" s="156">
        <v>44378</v>
      </c>
      <c r="B20" s="157">
        <v>1079.4318181818182</v>
      </c>
      <c r="C20" s="157">
        <v>1244.3181818181818</v>
      </c>
    </row>
    <row r="21" spans="1:3">
      <c r="A21" s="156">
        <v>44409</v>
      </c>
      <c r="B21" s="157">
        <v>1152.7272727272727</v>
      </c>
      <c r="C21" s="157">
        <v>1301.3636363636363</v>
      </c>
    </row>
    <row r="22" spans="1:3">
      <c r="A22" s="156">
        <v>44440</v>
      </c>
      <c r="B22" s="157">
        <v>1180.340909090909</v>
      </c>
      <c r="C22" s="157">
        <v>1306.5</v>
      </c>
    </row>
    <row r="23" spans="1:3">
      <c r="A23" s="156">
        <v>44470</v>
      </c>
      <c r="B23" s="157">
        <v>1315.8333333333333</v>
      </c>
      <c r="C23" s="157">
        <v>1397.3809523809523</v>
      </c>
    </row>
    <row r="24" spans="1:3">
      <c r="A24" s="156">
        <v>44501</v>
      </c>
      <c r="B24" s="157">
        <v>1352.159090909091</v>
      </c>
      <c r="C24" s="157">
        <v>1391.7272727272727</v>
      </c>
    </row>
    <row r="25" spans="1:3">
      <c r="A25" s="156">
        <v>44531</v>
      </c>
      <c r="B25" s="157">
        <v>1273.1521739130435</v>
      </c>
      <c r="C25" s="157">
        <v>1351</v>
      </c>
    </row>
    <row r="26" spans="1:3">
      <c r="A26" s="156">
        <v>44562</v>
      </c>
      <c r="B26" s="157">
        <v>1353.3333333333333</v>
      </c>
      <c r="C26" s="157">
        <v>1372.4285714285713</v>
      </c>
    </row>
    <row r="27" spans="1:3">
      <c r="A27" s="156">
        <v>44593</v>
      </c>
      <c r="B27" s="157">
        <v>1541.25</v>
      </c>
      <c r="C27" s="157">
        <v>1531.9</v>
      </c>
    </row>
    <row r="28" spans="1:3">
      <c r="A28" s="156">
        <v>44621</v>
      </c>
      <c r="B28" s="157">
        <v>1781.6304347826087</v>
      </c>
      <c r="C28" s="157">
        <v>1759.0869565217392</v>
      </c>
    </row>
    <row r="29" spans="1:3">
      <c r="A29" s="156">
        <v>44652</v>
      </c>
      <c r="B29" s="157">
        <v>1690.2380952380952</v>
      </c>
      <c r="C29" s="157">
        <v>1834.9047619047619</v>
      </c>
    </row>
    <row r="30" spans="1:3">
      <c r="A30" s="156">
        <v>44682</v>
      </c>
      <c r="B30" s="157">
        <v>1722.0454545454545</v>
      </c>
      <c r="C30" s="157">
        <v>1810.1363636363637</v>
      </c>
    </row>
    <row r="31" spans="1:3">
      <c r="A31" s="156">
        <v>44713</v>
      </c>
      <c r="B31" s="157">
        <v>1478.8636363636363</v>
      </c>
      <c r="C31" s="157">
        <v>1596.409090909091</v>
      </c>
    </row>
    <row r="32" spans="1:3">
      <c r="A32" s="156">
        <v>44743</v>
      </c>
      <c r="B32" s="157">
        <v>1055.8333333333333</v>
      </c>
      <c r="C32" s="157">
        <v>1318.4761904761904</v>
      </c>
    </row>
    <row r="33" spans="1:3">
      <c r="A33" s="156">
        <v>44774</v>
      </c>
      <c r="B33" s="157">
        <v>1019.3478260869565</v>
      </c>
      <c r="C33" s="157">
        <v>1370.2608695652175</v>
      </c>
    </row>
    <row r="34" spans="1:3">
      <c r="A34" s="156">
        <v>44805</v>
      </c>
      <c r="B34" s="157">
        <v>894.31818181818187</v>
      </c>
      <c r="C34" s="157">
        <v>1200.6818181818182</v>
      </c>
    </row>
    <row r="35" spans="1:3">
      <c r="A35" s="156">
        <v>44835</v>
      </c>
      <c r="B35" s="157">
        <v>884.04761904761904</v>
      </c>
      <c r="C35" s="157">
        <v>1291.9000000000001</v>
      </c>
    </row>
    <row r="36" spans="1:3">
      <c r="A36" s="156">
        <v>44866</v>
      </c>
      <c r="B36" s="157">
        <v>953.97727272727275</v>
      </c>
      <c r="C36" s="157">
        <v>1381.409090909091</v>
      </c>
    </row>
    <row r="37" spans="1:3">
      <c r="A37" s="156">
        <v>44896</v>
      </c>
      <c r="B37" s="157">
        <v>948.40909090909088</v>
      </c>
      <c r="C37" s="157">
        <v>1234.090909090909</v>
      </c>
    </row>
    <row r="38" spans="1:3">
      <c r="A38" s="156">
        <v>44927</v>
      </c>
      <c r="B38" s="157">
        <v>947.38636363636363</v>
      </c>
      <c r="C38" s="157">
        <v>1184.4545454545455</v>
      </c>
    </row>
    <row r="39" spans="1:3">
      <c r="A39" s="156">
        <v>44958</v>
      </c>
      <c r="B39" s="157">
        <v>957.5</v>
      </c>
      <c r="C39" s="157">
        <v>1169.8499999999999</v>
      </c>
    </row>
    <row r="40" spans="1:3">
      <c r="A40" s="156">
        <v>44986</v>
      </c>
      <c r="B40" s="157">
        <v>967.60869565217388</v>
      </c>
      <c r="C40" s="157">
        <v>1059.6521739130435</v>
      </c>
    </row>
    <row r="41" spans="1:3">
      <c r="A41" s="156">
        <v>45017</v>
      </c>
      <c r="B41" s="157">
        <v>995.875</v>
      </c>
      <c r="C41" s="157">
        <v>966.6</v>
      </c>
    </row>
    <row r="42" spans="1:3">
      <c r="A42" s="156">
        <v>45047</v>
      </c>
      <c r="B42" s="157">
        <v>886.304347826087</v>
      </c>
      <c r="C42" s="157">
        <v>919.91304347826087</v>
      </c>
    </row>
    <row r="43" spans="1:3">
      <c r="A43" s="156">
        <v>45078</v>
      </c>
      <c r="B43" s="157">
        <v>814.43181818181813</v>
      </c>
      <c r="C43" s="157">
        <v>962.42857142857144</v>
      </c>
    </row>
    <row r="44" spans="1:3">
      <c r="A44" s="156">
        <v>45108</v>
      </c>
      <c r="B44" s="157">
        <v>884.52380952380952</v>
      </c>
      <c r="C44" s="157">
        <v>1000.2380952380952</v>
      </c>
    </row>
    <row r="45" spans="1:3">
      <c r="A45" s="156">
        <v>45139</v>
      </c>
      <c r="B45" s="157">
        <v>861.52173913043475</v>
      </c>
      <c r="C45" s="157">
        <v>997.39130434782612</v>
      </c>
    </row>
    <row r="46" spans="1:3">
      <c r="A46" s="156">
        <v>45170</v>
      </c>
      <c r="B46" s="157">
        <v>833.09523809523807</v>
      </c>
      <c r="C46" s="157">
        <v>928.47619047619048</v>
      </c>
    </row>
    <row r="47" spans="1:3">
      <c r="A47" s="156">
        <v>45200</v>
      </c>
      <c r="B47" s="157">
        <v>805.56818181818187</v>
      </c>
      <c r="C47" s="157">
        <v>897.90909090909088</v>
      </c>
    </row>
    <row r="48" spans="1:3">
      <c r="A48" s="156">
        <v>45231</v>
      </c>
      <c r="B48" s="157">
        <v>835.56818181818187</v>
      </c>
      <c r="C48" s="157">
        <v>985.81818181818187</v>
      </c>
    </row>
    <row r="49" spans="1:4">
      <c r="A49" s="156">
        <v>45261</v>
      </c>
      <c r="B49" s="157">
        <v>819.52380952380952</v>
      </c>
      <c r="C49" s="157">
        <v>884.52380952380952</v>
      </c>
    </row>
    <row r="50" spans="1:4">
      <c r="A50" s="156">
        <v>45292</v>
      </c>
      <c r="B50" s="157">
        <v>850.21739130434787</v>
      </c>
      <c r="C50" s="157">
        <v>845.91304347826087</v>
      </c>
    </row>
    <row r="51" spans="1:4">
      <c r="A51" s="156">
        <v>45323</v>
      </c>
      <c r="B51" s="157">
        <v>864.375</v>
      </c>
      <c r="C51" s="157">
        <v>822.7</v>
      </c>
    </row>
    <row r="52" spans="1:4">
      <c r="A52" s="156">
        <v>45352</v>
      </c>
      <c r="B52" s="157">
        <v>949.88095238095241</v>
      </c>
      <c r="C52" s="157">
        <v>898.15</v>
      </c>
    </row>
    <row r="53" spans="1:4">
      <c r="A53" s="156">
        <v>45383</v>
      </c>
      <c r="B53" s="157">
        <v>940.11363636363637</v>
      </c>
      <c r="C53" s="157">
        <v>885.40909090909088</v>
      </c>
    </row>
    <row r="54" spans="1:4">
      <c r="A54" s="156">
        <v>45413</v>
      </c>
      <c r="B54" s="157">
        <v>861.304347826087</v>
      </c>
      <c r="C54" s="157">
        <v>898.60869565217388</v>
      </c>
    </row>
    <row r="55" spans="1:4">
      <c r="A55" s="156">
        <v>45444</v>
      </c>
      <c r="B55" s="157">
        <v>878.375</v>
      </c>
      <c r="C55" s="157">
        <v>944.9</v>
      </c>
    </row>
    <row r="56" spans="1:4">
      <c r="A56" s="156">
        <v>45474</v>
      </c>
      <c r="B56" s="157">
        <v>902.28260869565213</v>
      </c>
      <c r="C56" s="157">
        <v>947.60869565217388</v>
      </c>
    </row>
    <row r="57" spans="1:4">
      <c r="A57" s="156">
        <v>45505</v>
      </c>
      <c r="B57" s="157">
        <v>934.77272727272725</v>
      </c>
      <c r="C57" s="157">
        <v>917.09523809523807</v>
      </c>
    </row>
    <row r="58" spans="1:4">
      <c r="A58" s="156">
        <v>45536</v>
      </c>
      <c r="B58" s="157">
        <v>988.09523809523807</v>
      </c>
      <c r="C58" s="157">
        <v>941.33333333333337</v>
      </c>
    </row>
    <row r="59" spans="1:4">
      <c r="A59" s="156">
        <v>45566</v>
      </c>
      <c r="B59" s="157">
        <v>1070</v>
      </c>
      <c r="C59" s="157">
        <v>1002.5</v>
      </c>
      <c r="D59" s="157"/>
    </row>
    <row r="60" spans="1:4">
      <c r="A60" s="156"/>
    </row>
    <row r="61" spans="1:4">
      <c r="A61" s="156"/>
      <c r="B61" s="157"/>
      <c r="C61" s="157"/>
    </row>
    <row r="62" spans="1:4">
      <c r="A62" s="156"/>
      <c r="B62" s="160"/>
      <c r="C62" s="160"/>
    </row>
    <row r="63" spans="1:4">
      <c r="A63" s="156"/>
    </row>
    <row r="64" spans="1:4">
      <c r="A64" s="156"/>
      <c r="B64" s="157"/>
      <c r="C64" s="157"/>
    </row>
    <row r="65" spans="1:2">
      <c r="A65" s="156"/>
      <c r="B65" s="157"/>
    </row>
    <row r="66" spans="1:2">
      <c r="A66" s="156"/>
      <c r="B66" s="160"/>
    </row>
    <row r="67" spans="1:2">
      <c r="A67" s="156"/>
    </row>
    <row r="68" spans="1:2">
      <c r="A68" s="156"/>
      <c r="B68" s="167"/>
    </row>
    <row r="69" spans="1:2">
      <c r="A69" s="156"/>
    </row>
    <row r="70" spans="1:2">
      <c r="A70" s="156"/>
    </row>
    <row r="71" spans="1:2">
      <c r="A71" s="15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782ED-4718-4A94-B3D3-19701053BC41}">
  <dimension ref="A1:L85"/>
  <sheetViews>
    <sheetView zoomScale="90" zoomScaleNormal="90" workbookViewId="0">
      <selection activeCell="D20" sqref="D20"/>
    </sheetView>
  </sheetViews>
  <sheetFormatPr defaultColWidth="9.28515625" defaultRowHeight="14.25"/>
  <cols>
    <col min="1" max="1" width="16.7109375" style="137" customWidth="1"/>
    <col min="2" max="2" width="13.140625" style="137" customWidth="1"/>
    <col min="3" max="3" width="11.42578125" style="137" customWidth="1"/>
    <col min="4" max="4" width="9.28515625" style="137" customWidth="1"/>
    <col min="5" max="5" width="13.7109375" style="137" customWidth="1"/>
    <col min="6" max="6" width="12.28515625" style="137" customWidth="1"/>
    <col min="7" max="8" width="7.7109375" style="137" customWidth="1"/>
    <col min="9" max="9" width="9.28515625" style="137"/>
    <col min="10" max="12" width="11" style="137" bestFit="1" customWidth="1"/>
    <col min="13" max="16384" width="9.28515625" style="137"/>
  </cols>
  <sheetData>
    <row r="1" spans="1:12" ht="34.5" customHeight="1">
      <c r="A1" s="152" t="s">
        <v>159</v>
      </c>
      <c r="B1" s="136" t="s">
        <v>27</v>
      </c>
      <c r="C1" s="136" t="s">
        <v>175</v>
      </c>
      <c r="D1" s="136" t="s">
        <v>176</v>
      </c>
      <c r="E1" s="136" t="s">
        <v>164</v>
      </c>
      <c r="F1" s="136"/>
    </row>
    <row r="2" spans="1:12" ht="13.9" customHeight="1">
      <c r="A2" s="162" t="s">
        <v>117</v>
      </c>
      <c r="B2" s="163">
        <v>36</v>
      </c>
      <c r="C2" s="163">
        <v>27.632999999999999</v>
      </c>
      <c r="D2" s="163">
        <v>3.5</v>
      </c>
      <c r="E2" s="163">
        <v>5.37</v>
      </c>
      <c r="F2" s="146"/>
    </row>
    <row r="3" spans="1:12" ht="13.9" customHeight="1">
      <c r="A3" s="162" t="s">
        <v>118</v>
      </c>
      <c r="B3" s="163">
        <v>39.5</v>
      </c>
      <c r="C3" s="163">
        <v>26.966999999999999</v>
      </c>
      <c r="D3" s="163">
        <v>5.7249999999999996</v>
      </c>
      <c r="E3" s="163">
        <v>5.57</v>
      </c>
      <c r="F3" s="146"/>
    </row>
    <row r="4" spans="1:12" ht="13.9" customHeight="1">
      <c r="A4" s="162" t="s">
        <v>119</v>
      </c>
      <c r="B4" s="163">
        <v>41.5</v>
      </c>
      <c r="C4" s="163">
        <v>28.279</v>
      </c>
      <c r="D4" s="163">
        <v>7.45</v>
      </c>
      <c r="E4" s="163">
        <v>5.77</v>
      </c>
      <c r="F4" s="146"/>
    </row>
    <row r="5" spans="1:12" ht="13.9" customHeight="1">
      <c r="A5" s="162" t="s">
        <v>120</v>
      </c>
      <c r="B5" s="163">
        <v>42.5</v>
      </c>
      <c r="C5" s="163">
        <v>26.248999999999999</v>
      </c>
      <c r="D5" s="163">
        <v>8.3000000000000007</v>
      </c>
      <c r="E5" s="163">
        <v>6.02</v>
      </c>
      <c r="F5" s="146"/>
    </row>
    <row r="6" spans="1:12">
      <c r="A6" s="162" t="s">
        <v>121</v>
      </c>
      <c r="B6" s="164">
        <v>43.5</v>
      </c>
      <c r="C6" s="164">
        <v>27.321000000000002</v>
      </c>
      <c r="D6" s="164">
        <v>9.1999999999999993</v>
      </c>
      <c r="E6" s="164">
        <v>6.2249999999999996</v>
      </c>
      <c r="F6" s="161"/>
      <c r="G6"/>
      <c r="H6"/>
      <c r="I6"/>
      <c r="J6"/>
      <c r="K6"/>
      <c r="L6"/>
    </row>
    <row r="7" spans="1:12">
      <c r="A7" s="162" t="s">
        <v>122</v>
      </c>
      <c r="B7" s="164">
        <v>42</v>
      </c>
      <c r="C7" s="164">
        <v>22.321000000000002</v>
      </c>
      <c r="D7" s="164">
        <v>10.5</v>
      </c>
      <c r="E7" s="164">
        <v>6.65</v>
      </c>
      <c r="F7" s="161"/>
      <c r="G7"/>
      <c r="H7"/>
      <c r="I7"/>
      <c r="J7"/>
      <c r="K7"/>
      <c r="L7"/>
    </row>
    <row r="8" spans="1:12">
      <c r="A8" s="165" t="s">
        <v>35</v>
      </c>
      <c r="B8" s="164">
        <v>45</v>
      </c>
      <c r="C8" s="164">
        <v>28.077000000000002</v>
      </c>
      <c r="D8" s="164">
        <v>11.9</v>
      </c>
      <c r="E8" s="164">
        <v>6.95</v>
      </c>
      <c r="F8" s="161"/>
      <c r="G8"/>
      <c r="H8"/>
      <c r="I8"/>
      <c r="J8"/>
      <c r="K8"/>
      <c r="L8"/>
    </row>
    <row r="9" spans="1:12">
      <c r="A9" s="165" t="s">
        <v>54</v>
      </c>
      <c r="B9" s="164">
        <v>44</v>
      </c>
      <c r="C9" s="164">
        <v>23</v>
      </c>
      <c r="D9" s="164">
        <v>13.25</v>
      </c>
      <c r="E9" s="164">
        <v>7.25</v>
      </c>
      <c r="F9" s="161"/>
      <c r="G9"/>
      <c r="H9"/>
      <c r="I9"/>
      <c r="J9"/>
      <c r="K9"/>
      <c r="L9" s="159"/>
    </row>
    <row r="10" spans="1:12">
      <c r="A10" s="165" t="s">
        <v>177</v>
      </c>
      <c r="B10" s="164">
        <v>47</v>
      </c>
      <c r="C10" s="164">
        <v>26</v>
      </c>
      <c r="D10" s="164">
        <v>13.75</v>
      </c>
      <c r="E10" s="164">
        <v>7.6</v>
      </c>
      <c r="F10" s="161"/>
      <c r="G10"/>
      <c r="H10"/>
      <c r="I10"/>
      <c r="J10"/>
      <c r="K10"/>
      <c r="L10" s="159"/>
    </row>
    <row r="11" spans="1:12">
      <c r="A11" s="165" t="s">
        <v>178</v>
      </c>
      <c r="B11" s="166">
        <v>46.5</v>
      </c>
      <c r="C11" s="166">
        <v>25.2</v>
      </c>
      <c r="D11" s="166">
        <v>13.75</v>
      </c>
      <c r="E11" s="166">
        <v>7.55</v>
      </c>
      <c r="F11" s="161"/>
      <c r="G11"/>
      <c r="H11"/>
      <c r="I11"/>
      <c r="J11"/>
      <c r="K11"/>
      <c r="L11" s="159"/>
    </row>
    <row r="12" spans="1:12">
      <c r="A12" s="138"/>
      <c r="B12" s="139"/>
      <c r="L12" s="159"/>
    </row>
    <row r="13" spans="1:12">
      <c r="A13" s="138"/>
      <c r="B13" s="139"/>
      <c r="L13" s="159"/>
    </row>
    <row r="14" spans="1:12">
      <c r="A14" s="138"/>
      <c r="B14" s="139"/>
      <c r="L14" s="159"/>
    </row>
    <row r="15" spans="1:12">
      <c r="A15" s="138"/>
      <c r="B15" s="139"/>
      <c r="L15" s="159"/>
    </row>
    <row r="16" spans="1:12">
      <c r="A16" s="138"/>
      <c r="B16" s="139"/>
      <c r="L16" s="159"/>
    </row>
    <row r="17" spans="1:2">
      <c r="A17" s="138"/>
      <c r="B17" s="139"/>
    </row>
    <row r="18" spans="1:2">
      <c r="A18" s="138"/>
      <c r="B18" s="139"/>
    </row>
    <row r="19" spans="1:2">
      <c r="A19" s="138"/>
      <c r="B19" s="139"/>
    </row>
    <row r="20" spans="1:2">
      <c r="A20" s="138"/>
      <c r="B20" s="139"/>
    </row>
    <row r="21" spans="1:2">
      <c r="A21" s="138"/>
      <c r="B21" s="139"/>
    </row>
    <row r="22" spans="1:2">
      <c r="A22" s="138"/>
      <c r="B22" s="139"/>
    </row>
    <row r="23" spans="1:2">
      <c r="A23" s="140"/>
      <c r="B23" s="140"/>
    </row>
    <row r="24" spans="1:2">
      <c r="A24" s="140"/>
      <c r="B24" s="140"/>
    </row>
    <row r="25" spans="1:2">
      <c r="A25" s="140"/>
      <c r="B25" s="140"/>
    </row>
    <row r="26" spans="1:2">
      <c r="A26" s="140"/>
      <c r="B26" s="140"/>
    </row>
    <row r="27" spans="1:2">
      <c r="A27" s="140"/>
      <c r="B27" s="140"/>
    </row>
    <row r="28" spans="1:2">
      <c r="A28" s="140"/>
      <c r="B28" s="140"/>
    </row>
    <row r="29" spans="1:2">
      <c r="A29" s="140"/>
      <c r="B29" s="140"/>
    </row>
    <row r="30" spans="1:2">
      <c r="A30" s="140"/>
      <c r="B30" s="140"/>
    </row>
    <row r="31" spans="1:2">
      <c r="A31" s="140"/>
      <c r="B31" s="140"/>
    </row>
    <row r="32" spans="1:2">
      <c r="A32" s="140"/>
      <c r="B32" s="140"/>
    </row>
    <row r="33" spans="1:2">
      <c r="A33" s="140"/>
      <c r="B33" s="140"/>
    </row>
    <row r="34" spans="1:2">
      <c r="A34" s="140"/>
      <c r="B34" s="140"/>
    </row>
    <row r="35" spans="1:2">
      <c r="A35" s="140"/>
      <c r="B35" s="140"/>
    </row>
    <row r="36" spans="1:2">
      <c r="A36" s="140"/>
      <c r="B36" s="140"/>
    </row>
    <row r="37" spans="1:2">
      <c r="A37" s="140"/>
      <c r="B37" s="140"/>
    </row>
    <row r="38" spans="1:2">
      <c r="A38" s="140"/>
      <c r="B38" s="140"/>
    </row>
    <row r="39" spans="1:2">
      <c r="A39" s="140"/>
      <c r="B39" s="140"/>
    </row>
    <row r="40" spans="1:2">
      <c r="A40" s="140"/>
      <c r="B40" s="140"/>
    </row>
    <row r="41" spans="1:2">
      <c r="A41" s="140"/>
      <c r="B41" s="140"/>
    </row>
    <row r="42" spans="1:2">
      <c r="A42" s="140"/>
      <c r="B42" s="140"/>
    </row>
    <row r="43" spans="1:2">
      <c r="A43" s="140"/>
      <c r="B43" s="140"/>
    </row>
    <row r="44" spans="1:2">
      <c r="A44" s="140"/>
      <c r="B44" s="140"/>
    </row>
    <row r="45" spans="1:2">
      <c r="A45" s="140"/>
      <c r="B45" s="140"/>
    </row>
    <row r="46" spans="1:2">
      <c r="A46" s="140"/>
      <c r="B46" s="140"/>
    </row>
    <row r="47" spans="1:2">
      <c r="A47" s="140"/>
      <c r="B47" s="140"/>
    </row>
    <row r="48" spans="1:2">
      <c r="A48" s="140"/>
      <c r="B48" s="140"/>
    </row>
    <row r="49" spans="1:2">
      <c r="A49" s="140"/>
      <c r="B49" s="140"/>
    </row>
    <row r="50" spans="1:2">
      <c r="A50" s="140"/>
      <c r="B50" s="140"/>
    </row>
    <row r="51" spans="1:2">
      <c r="A51" s="140"/>
      <c r="B51" s="140"/>
    </row>
    <row r="52" spans="1:2">
      <c r="A52" s="140"/>
      <c r="B52" s="140"/>
    </row>
    <row r="53" spans="1:2">
      <c r="A53" s="140"/>
      <c r="B53" s="140"/>
    </row>
    <row r="54" spans="1:2">
      <c r="A54" s="140"/>
      <c r="B54" s="140"/>
    </row>
    <row r="55" spans="1:2">
      <c r="A55" s="140"/>
      <c r="B55" s="140"/>
    </row>
    <row r="56" spans="1:2">
      <c r="A56" s="140"/>
      <c r="B56" s="140"/>
    </row>
    <row r="57" spans="1:2">
      <c r="A57" s="140"/>
      <c r="B57" s="140"/>
    </row>
    <row r="58" spans="1:2">
      <c r="A58" s="140"/>
      <c r="B58" s="140"/>
    </row>
    <row r="59" spans="1:2">
      <c r="A59" s="140"/>
      <c r="B59" s="140"/>
    </row>
    <row r="60" spans="1:2">
      <c r="A60" s="140"/>
      <c r="B60" s="140"/>
    </row>
    <row r="61" spans="1:2">
      <c r="A61" s="140"/>
      <c r="B61" s="140"/>
    </row>
    <row r="62" spans="1:2">
      <c r="A62" s="140"/>
      <c r="B62" s="140"/>
    </row>
    <row r="63" spans="1:2">
      <c r="A63" s="140"/>
      <c r="B63" s="140"/>
    </row>
    <row r="64" spans="1:2">
      <c r="A64" s="140"/>
      <c r="B64" s="140"/>
    </row>
    <row r="65" spans="1:2">
      <c r="A65" s="140"/>
      <c r="B65" s="140"/>
    </row>
    <row r="66" spans="1:2">
      <c r="A66" s="140"/>
      <c r="B66" s="140"/>
    </row>
    <row r="67" spans="1:2">
      <c r="A67" s="140"/>
      <c r="B67" s="140"/>
    </row>
    <row r="68" spans="1:2">
      <c r="A68" s="140"/>
      <c r="B68" s="140"/>
    </row>
    <row r="69" spans="1:2">
      <c r="A69" s="140"/>
      <c r="B69" s="140"/>
    </row>
    <row r="70" spans="1:2">
      <c r="A70" s="140"/>
      <c r="B70" s="140"/>
    </row>
    <row r="71" spans="1:2">
      <c r="A71" s="140"/>
      <c r="B71" s="140"/>
    </row>
    <row r="72" spans="1:2">
      <c r="A72" s="140"/>
      <c r="B72" s="140"/>
    </row>
    <row r="73" spans="1:2">
      <c r="A73" s="140"/>
      <c r="B73" s="140"/>
    </row>
    <row r="74" spans="1:2">
      <c r="A74" s="140"/>
      <c r="B74" s="140"/>
    </row>
    <row r="75" spans="1:2">
      <c r="A75" s="140"/>
      <c r="B75" s="140"/>
    </row>
    <row r="76" spans="1:2">
      <c r="A76" s="140"/>
      <c r="B76" s="140"/>
    </row>
    <row r="77" spans="1:2">
      <c r="A77" s="140"/>
      <c r="B77" s="140"/>
    </row>
    <row r="78" spans="1:2">
      <c r="A78" s="140"/>
      <c r="B78" s="140"/>
    </row>
    <row r="79" spans="1:2">
      <c r="A79" s="140"/>
      <c r="B79" s="140"/>
    </row>
    <row r="80" spans="1:2">
      <c r="A80" s="140"/>
      <c r="B80" s="140"/>
    </row>
    <row r="81" spans="1:2">
      <c r="A81" s="140"/>
      <c r="B81" s="140"/>
    </row>
    <row r="82" spans="1:2">
      <c r="A82" s="140"/>
      <c r="B82" s="140"/>
    </row>
    <row r="83" spans="1:2">
      <c r="A83" s="140"/>
      <c r="B83" s="140"/>
    </row>
    <row r="84" spans="1:2">
      <c r="A84" s="140"/>
      <c r="B84" s="140"/>
    </row>
    <row r="85" spans="1:2">
      <c r="A85" s="140"/>
      <c r="B85" s="14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62"/>
  <sheetViews>
    <sheetView showGridLines="0" zoomScale="70" zoomScaleNormal="70" workbookViewId="0"/>
  </sheetViews>
  <sheetFormatPr defaultColWidth="9.28515625" defaultRowHeight="12.75"/>
  <cols>
    <col min="1" max="1" width="21.5703125" customWidth="1"/>
    <col min="2" max="2" width="14.28515625" customWidth="1"/>
    <col min="3" max="3" width="9.5703125" customWidth="1"/>
    <col min="4" max="4" width="26.5703125" customWidth="1"/>
    <col min="5" max="5" width="9.5703125" customWidth="1"/>
    <col min="6" max="6" width="10.5703125" customWidth="1"/>
    <col min="7" max="7" width="19.7109375" customWidth="1"/>
    <col min="8" max="8" width="18.7109375" customWidth="1"/>
    <col min="9" max="9" width="1.5703125" customWidth="1"/>
    <col min="10" max="10" width="14.5703125" customWidth="1"/>
    <col min="11" max="12" width="10.5703125" customWidth="1"/>
    <col min="13" max="13" width="10.42578125" customWidth="1"/>
    <col min="14" max="14" width="9.5703125" customWidth="1"/>
    <col min="17" max="17" width="15.42578125" bestFit="1" customWidth="1"/>
    <col min="18" max="18" width="13.42578125" bestFit="1" customWidth="1"/>
    <col min="22" max="22" width="12.28515625" customWidth="1"/>
    <col min="24" max="24" width="10.42578125" bestFit="1" customWidth="1"/>
  </cols>
  <sheetData>
    <row r="1" spans="1:23" ht="14.25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4.25">
      <c r="A2" s="15"/>
      <c r="B2" s="16" t="s">
        <v>14</v>
      </c>
      <c r="C2" s="184"/>
      <c r="D2" s="17" t="s">
        <v>15</v>
      </c>
      <c r="E2" s="18"/>
      <c r="F2" s="184" t="s">
        <v>16</v>
      </c>
      <c r="G2" s="184"/>
      <c r="H2" s="184"/>
      <c r="I2" s="15"/>
      <c r="J2" s="18"/>
      <c r="K2" s="184"/>
      <c r="L2" s="19" t="s">
        <v>17</v>
      </c>
      <c r="M2" s="184"/>
      <c r="N2" s="15"/>
    </row>
    <row r="3" spans="1:23" ht="14.25">
      <c r="A3" s="15" t="s">
        <v>18</v>
      </c>
      <c r="B3" s="17" t="s">
        <v>19</v>
      </c>
      <c r="C3" s="15" t="s">
        <v>20</v>
      </c>
      <c r="D3" s="17"/>
      <c r="E3" s="20" t="s">
        <v>21</v>
      </c>
      <c r="F3" s="20"/>
      <c r="G3" s="20"/>
      <c r="H3" s="20"/>
      <c r="I3" s="20"/>
      <c r="J3" s="17" t="s">
        <v>22</v>
      </c>
      <c r="K3" s="20" t="s">
        <v>23</v>
      </c>
      <c r="L3" s="20"/>
      <c r="M3" s="20"/>
      <c r="N3" s="20" t="s">
        <v>24</v>
      </c>
    </row>
    <row r="4" spans="1:23" ht="14.25">
      <c r="A4" s="21" t="s">
        <v>25</v>
      </c>
      <c r="B4" s="22"/>
      <c r="C4" s="22"/>
      <c r="D4" s="22"/>
      <c r="E4" s="23" t="s">
        <v>26</v>
      </c>
      <c r="F4" s="23" t="s">
        <v>27</v>
      </c>
      <c r="G4" s="24" t="s">
        <v>28</v>
      </c>
      <c r="H4" s="25" t="s">
        <v>29</v>
      </c>
      <c r="I4" s="24"/>
      <c r="J4" s="24"/>
      <c r="K4" s="24" t="s">
        <v>30</v>
      </c>
      <c r="L4" s="25" t="s">
        <v>31</v>
      </c>
      <c r="M4" s="23" t="s">
        <v>29</v>
      </c>
      <c r="N4" s="24" t="s">
        <v>26</v>
      </c>
      <c r="W4" s="26"/>
    </row>
    <row r="5" spans="1:23" ht="14.25">
      <c r="A5" s="15"/>
      <c r="B5" s="114" t="s">
        <v>32</v>
      </c>
      <c r="C5" s="185"/>
      <c r="D5" s="27" t="s">
        <v>33</v>
      </c>
      <c r="G5" s="114"/>
      <c r="I5" s="114"/>
      <c r="J5" s="114" t="s">
        <v>34</v>
      </c>
      <c r="K5" s="114"/>
      <c r="L5" s="114"/>
      <c r="M5" s="114"/>
      <c r="N5" s="114"/>
      <c r="W5" s="26"/>
    </row>
    <row r="6" spans="1:23" ht="16.5" customHeight="1">
      <c r="A6" s="15" t="s">
        <v>35</v>
      </c>
      <c r="B6" s="119">
        <v>87.45</v>
      </c>
      <c r="C6" s="119">
        <v>86.174000000000007</v>
      </c>
      <c r="D6" s="119">
        <f>F6/C6</f>
        <v>49.555329913895143</v>
      </c>
      <c r="E6" s="120">
        <v>274.39400000000001</v>
      </c>
      <c r="F6" s="121">
        <v>4270.3810000000003</v>
      </c>
      <c r="G6" s="122">
        <f>G27</f>
        <v>24.510413516181998</v>
      </c>
      <c r="H6" s="122">
        <f>SUM(E6:G6)</f>
        <v>4569.2854135161824</v>
      </c>
      <c r="I6" s="15"/>
      <c r="J6" s="121">
        <f>J27</f>
        <v>2211.9384453555185</v>
      </c>
      <c r="K6" s="121">
        <f>M6-L6-J6</f>
        <v>113.61885067909361</v>
      </c>
      <c r="L6" s="122">
        <f>L27</f>
        <v>1979.5441174815701</v>
      </c>
      <c r="M6" s="122">
        <f>H6-N6</f>
        <v>4305.1014135161822</v>
      </c>
      <c r="N6" s="122">
        <v>264.18400000000003</v>
      </c>
    </row>
    <row r="7" spans="1:23" ht="16.5" customHeight="1">
      <c r="A7" s="15" t="s">
        <v>36</v>
      </c>
      <c r="B7" s="119">
        <v>83.6</v>
      </c>
      <c r="C7" s="119">
        <v>82.271000000000001</v>
      </c>
      <c r="D7" s="119">
        <f>F7/C7</f>
        <v>50.589600223651104</v>
      </c>
      <c r="E7" s="120">
        <f>N6</f>
        <v>264.18400000000003</v>
      </c>
      <c r="F7" s="121">
        <v>4162.0569999999998</v>
      </c>
      <c r="G7" s="122">
        <f>G46</f>
        <v>20.835116574689998</v>
      </c>
      <c r="H7" s="122">
        <f>SUM(E7:G7)</f>
        <v>4447.0761165746899</v>
      </c>
      <c r="I7" s="15"/>
      <c r="J7" s="121">
        <v>2287.0702999999999</v>
      </c>
      <c r="K7" s="121">
        <f>M7-L7-J7</f>
        <v>123.06410724732314</v>
      </c>
      <c r="L7" s="122">
        <v>1694.9317093273664</v>
      </c>
      <c r="M7" s="122">
        <f>H7-N7</f>
        <v>4105.0661165746897</v>
      </c>
      <c r="N7" s="122">
        <f>N45</f>
        <v>342.01</v>
      </c>
      <c r="P7" s="170"/>
    </row>
    <row r="8" spans="1:23" ht="16.5" customHeight="1">
      <c r="A8" s="15" t="s">
        <v>37</v>
      </c>
      <c r="B8" s="119">
        <v>87.1</v>
      </c>
      <c r="C8" s="119">
        <v>86.271000000000001</v>
      </c>
      <c r="D8" s="119">
        <f>F8/C8</f>
        <v>53.111520673227389</v>
      </c>
      <c r="E8" s="120">
        <f>N7</f>
        <v>342.01</v>
      </c>
      <c r="F8" s="121">
        <v>4581.9840000000004</v>
      </c>
      <c r="G8" s="122">
        <v>15</v>
      </c>
      <c r="H8" s="122">
        <f>SUM(E8:G8)</f>
        <v>4938.9940000000006</v>
      </c>
      <c r="I8" s="15"/>
      <c r="J8" s="121">
        <v>2425</v>
      </c>
      <c r="K8" s="171">
        <v>114.08</v>
      </c>
      <c r="L8" s="122">
        <v>1850</v>
      </c>
      <c r="M8" s="122">
        <f>SUM(J8:L8)</f>
        <v>4389.08</v>
      </c>
      <c r="N8" s="122">
        <f>H8-M8</f>
        <v>549.91400000000067</v>
      </c>
      <c r="P8" s="170"/>
      <c r="Q8" s="170"/>
    </row>
    <row r="9" spans="1:23" ht="16.5" customHeight="1">
      <c r="A9" s="15"/>
      <c r="B9" s="15"/>
      <c r="C9" s="15"/>
      <c r="D9" s="15"/>
      <c r="E9" s="28"/>
      <c r="F9" s="28"/>
      <c r="G9" s="29"/>
      <c r="H9" s="28"/>
      <c r="I9" s="28"/>
      <c r="J9" s="29"/>
      <c r="K9" s="29"/>
      <c r="L9" s="29"/>
      <c r="M9" s="29"/>
      <c r="N9" s="29"/>
    </row>
    <row r="10" spans="1:23" ht="16.5" customHeight="1">
      <c r="A10" s="30" t="s">
        <v>35</v>
      </c>
      <c r="B10" s="83"/>
      <c r="C10" s="83"/>
      <c r="D10" s="83"/>
      <c r="E10" s="32"/>
      <c r="F10" s="32"/>
      <c r="G10" s="6"/>
      <c r="H10" s="13"/>
      <c r="I10" s="83"/>
      <c r="J10" s="13"/>
      <c r="K10" s="31"/>
      <c r="L10" s="6"/>
      <c r="M10" s="6"/>
      <c r="N10" s="13"/>
      <c r="R10" s="117"/>
      <c r="S10" s="118"/>
    </row>
    <row r="11" spans="1:23" ht="16.5" customHeight="1">
      <c r="A11" s="15" t="s">
        <v>38</v>
      </c>
      <c r="B11" s="83"/>
      <c r="C11" s="83"/>
      <c r="D11" s="83"/>
      <c r="E11" s="32"/>
      <c r="F11" s="32"/>
      <c r="G11" s="6">
        <f>(31758.1*36.74371)/1000000</f>
        <v>1.166910416551</v>
      </c>
      <c r="H11" s="13"/>
      <c r="I11" s="83"/>
      <c r="J11" s="6">
        <f>((5028287*0.907185)*36.74371)/1000000</f>
        <v>167.60961304264146</v>
      </c>
      <c r="K11" s="31"/>
      <c r="L11" s="6">
        <f>(2077837.3*36.74371)/1000000</f>
        <v>76.347451178383011</v>
      </c>
      <c r="M11" s="6"/>
      <c r="N11" s="13"/>
      <c r="Q11" s="86"/>
      <c r="R11" s="117"/>
      <c r="S11" s="118"/>
    </row>
    <row r="12" spans="1:23" ht="16.5" customHeight="1">
      <c r="A12" s="15" t="s">
        <v>39</v>
      </c>
      <c r="B12" s="83"/>
      <c r="C12" s="83"/>
      <c r="D12" s="83"/>
      <c r="E12" s="32"/>
      <c r="F12" s="32"/>
      <c r="G12" s="6">
        <f>(33827.2*36.74371)/1000000</f>
        <v>1.2429368269119998</v>
      </c>
      <c r="H12" s="13"/>
      <c r="I12" s="83"/>
      <c r="J12" s="6">
        <f>((5899694*0.907185)*36.74371)/1000000</f>
        <v>196.65652107964277</v>
      </c>
      <c r="K12" s="31"/>
      <c r="L12" s="6">
        <f>(9946822.5*36.74371)/1000000</f>
        <v>365.48316136147497</v>
      </c>
      <c r="M12" s="6"/>
      <c r="N12" s="13"/>
      <c r="Q12" s="86"/>
      <c r="R12" s="117"/>
      <c r="S12" s="118"/>
    </row>
    <row r="13" spans="1:23" ht="16.5" customHeight="1">
      <c r="A13" s="15" t="s">
        <v>40</v>
      </c>
      <c r="B13" s="83"/>
      <c r="C13" s="83"/>
      <c r="D13" s="83"/>
      <c r="E13" s="32"/>
      <c r="F13" s="32"/>
      <c r="G13" s="6">
        <f>(35058.7*36.74371)/1000000</f>
        <v>1.288186705777</v>
      </c>
      <c r="H13" s="13"/>
      <c r="I13" s="83"/>
      <c r="J13" s="6">
        <f>((5687098*0.907185)*36.74371)/1000000</f>
        <v>189.56998578553299</v>
      </c>
      <c r="K13" s="31"/>
      <c r="L13" s="6">
        <f>(9755010.4*36.74371)/1000000</f>
        <v>358.43527318458405</v>
      </c>
      <c r="M13" s="6"/>
      <c r="N13" s="13"/>
      <c r="Q13" s="86"/>
      <c r="R13" s="117"/>
      <c r="S13" s="117"/>
    </row>
    <row r="14" spans="1:23" ht="16.5" customHeight="1">
      <c r="A14" s="15" t="s">
        <v>41</v>
      </c>
      <c r="B14" s="83"/>
      <c r="C14" s="83"/>
      <c r="D14" s="83"/>
      <c r="E14" s="32">
        <f>E6</f>
        <v>274.39400000000001</v>
      </c>
      <c r="F14" s="32">
        <v>4270.3810000000003</v>
      </c>
      <c r="G14" s="6">
        <f>SUM(G11:G13)</f>
        <v>3.6980339492400001</v>
      </c>
      <c r="H14" s="13">
        <f>SUM(E14:G14)</f>
        <v>4548.4730339492407</v>
      </c>
      <c r="I14" s="83"/>
      <c r="J14" s="6">
        <f>SUM(J11:J13)</f>
        <v>553.83611990781719</v>
      </c>
      <c r="K14" s="31">
        <f>M14-L14-J14</f>
        <v>173.21902831698151</v>
      </c>
      <c r="L14" s="6">
        <f>SUM(L11:L13)</f>
        <v>800.265885724442</v>
      </c>
      <c r="M14" s="6">
        <f>H14-N14</f>
        <v>1527.3210339492407</v>
      </c>
      <c r="N14" s="13">
        <f>3021.152</f>
        <v>3021.152</v>
      </c>
      <c r="R14" s="117"/>
      <c r="S14" s="117"/>
    </row>
    <row r="15" spans="1:23" ht="16.5" customHeight="1">
      <c r="A15" s="15" t="s">
        <v>42</v>
      </c>
      <c r="B15" s="83"/>
      <c r="C15" s="83"/>
      <c r="D15" s="83"/>
      <c r="E15" s="32"/>
      <c r="F15" s="88"/>
      <c r="G15" s="6">
        <f>(36010.8*36.74371)/1000000</f>
        <v>1.323170392068</v>
      </c>
      <c r="H15" s="13"/>
      <c r="I15" s="83"/>
      <c r="J15" s="6">
        <f>((5622561*0.907185)*36.74371)/1000000</f>
        <v>187.41875185697378</v>
      </c>
      <c r="K15" s="31"/>
      <c r="L15" s="6">
        <f>(7967680.1*36.74371)/1000000</f>
        <v>292.76212696717101</v>
      </c>
      <c r="M15" s="6"/>
      <c r="N15" s="13"/>
      <c r="R15" s="117"/>
      <c r="S15" s="117"/>
    </row>
    <row r="16" spans="1:23" ht="16.5" customHeight="1">
      <c r="A16" s="15" t="s">
        <v>43</v>
      </c>
      <c r="B16" s="83"/>
      <c r="C16" s="83"/>
      <c r="D16" s="83"/>
      <c r="E16" s="32"/>
      <c r="F16" s="88"/>
      <c r="G16" s="6">
        <f>(5893*36.74371)/1000000</f>
        <v>0.21653068303</v>
      </c>
      <c r="H16" s="13"/>
      <c r="I16" s="83"/>
      <c r="J16" s="6">
        <f>((5734398*0.907185)*36.74371)/1000000</f>
        <v>191.14665288844833</v>
      </c>
      <c r="K16" s="31"/>
      <c r="L16" s="6">
        <f>(8247678.8*36.74371)/1000000</f>
        <v>303.050318000348</v>
      </c>
      <c r="M16" s="6"/>
      <c r="N16" s="13"/>
      <c r="R16" s="117"/>
      <c r="S16" s="117"/>
    </row>
    <row r="17" spans="1:24" ht="16.5" customHeight="1">
      <c r="A17" s="15" t="s">
        <v>44</v>
      </c>
      <c r="B17" s="83"/>
      <c r="C17" s="83"/>
      <c r="D17" s="83"/>
      <c r="E17" s="32"/>
      <c r="F17" s="88"/>
      <c r="G17" s="6">
        <f>(27761.8*36.7371)/1000000</f>
        <v>1.0198880227799998</v>
      </c>
      <c r="H17" s="13"/>
      <c r="I17" s="83"/>
      <c r="J17" s="6">
        <f>((5306995*0.907185)*36.74371)/1000000</f>
        <v>176.89988227983665</v>
      </c>
      <c r="K17" s="31"/>
      <c r="L17" s="6">
        <f>(5470551.7*36.74371)/1000000</f>
        <v>201.00836520480701</v>
      </c>
      <c r="M17" s="6"/>
      <c r="N17" s="13"/>
      <c r="Q17" s="86"/>
      <c r="R17" s="117"/>
      <c r="S17" s="117"/>
    </row>
    <row r="18" spans="1:24" ht="16.5" customHeight="1">
      <c r="A18" s="15" t="s">
        <v>45</v>
      </c>
      <c r="B18" s="83"/>
      <c r="C18" s="83"/>
      <c r="D18" s="83"/>
      <c r="E18" s="32">
        <f>N14</f>
        <v>3021.152</v>
      </c>
      <c r="F18" s="88"/>
      <c r="G18" s="6">
        <f>SUM(G15:G17)</f>
        <v>2.5595890978779998</v>
      </c>
      <c r="H18" s="13">
        <f>SUM(E18:G18)</f>
        <v>3023.711589097878</v>
      </c>
      <c r="I18" s="83"/>
      <c r="J18" s="6">
        <f>SUM(J15:J17)</f>
        <v>555.46528702525882</v>
      </c>
      <c r="K18" s="31">
        <f>M18-L18-J18</f>
        <v>-15.206508099706866</v>
      </c>
      <c r="L18" s="6">
        <f>SUM(L15:L17)</f>
        <v>796.82081017232599</v>
      </c>
      <c r="M18" s="6">
        <f>H18-N18</f>
        <v>1337.0795890978779</v>
      </c>
      <c r="N18" s="13">
        <f>1686.632</f>
        <v>1686.6320000000001</v>
      </c>
      <c r="P18" s="34"/>
      <c r="R18" s="117"/>
      <c r="S18" s="117"/>
    </row>
    <row r="19" spans="1:24" ht="16.5" customHeight="1">
      <c r="A19" s="15" t="s">
        <v>46</v>
      </c>
      <c r="B19" s="83"/>
      <c r="C19" s="83"/>
      <c r="D19" s="83"/>
      <c r="E19" s="32"/>
      <c r="F19" s="88"/>
      <c r="G19" s="6">
        <f>(34750.8*36.74371)/1000000</f>
        <v>1.276873317468</v>
      </c>
      <c r="H19" s="13"/>
      <c r="I19" s="83"/>
      <c r="J19" s="6">
        <f>((5939012*0.907185)*36.74371)/1000000</f>
        <v>197.96712144227334</v>
      </c>
      <c r="K19" s="31"/>
      <c r="L19" s="6">
        <f>(3094585.1*36.74371)/1000000</f>
        <v>113.70653748472101</v>
      </c>
      <c r="M19" s="6"/>
      <c r="N19" s="13"/>
      <c r="Q19" s="86"/>
      <c r="R19" s="117"/>
      <c r="S19" s="117"/>
    </row>
    <row r="20" spans="1:24" ht="16.5" customHeight="1">
      <c r="A20" s="15" t="s">
        <v>47</v>
      </c>
      <c r="B20" s="83"/>
      <c r="C20" s="83"/>
      <c r="D20" s="83"/>
      <c r="E20" s="32"/>
      <c r="F20" s="88"/>
      <c r="G20" s="6">
        <f>(8469.7*36.74371)/1000000</f>
        <v>0.31120820058699999</v>
      </c>
      <c r="H20" s="13"/>
      <c r="I20" s="83"/>
      <c r="J20" s="6">
        <f>((5609607*0.907185)*36.74371)/1000000</f>
        <v>186.98695173749888</v>
      </c>
      <c r="K20" s="31"/>
      <c r="L20" s="6">
        <f>(2512608.1*36.74371)/1000000</f>
        <v>92.322543370050994</v>
      </c>
      <c r="M20" s="6"/>
      <c r="N20" s="13"/>
      <c r="R20" s="117"/>
      <c r="S20" s="117"/>
    </row>
    <row r="21" spans="1:24" ht="16.5" customHeight="1">
      <c r="A21" s="15" t="s">
        <v>48</v>
      </c>
      <c r="B21" s="83"/>
      <c r="C21" s="83"/>
      <c r="D21" s="83"/>
      <c r="E21" s="32"/>
      <c r="F21" s="88"/>
      <c r="G21" s="6">
        <f>(127008.2*36.74371)/1000000</f>
        <v>4.6667524684220005</v>
      </c>
      <c r="H21" s="13"/>
      <c r="I21" s="83"/>
      <c r="J21" s="6">
        <f>((5679096*0.907185)*36.74371)/1000000</f>
        <v>189.30325237839708</v>
      </c>
      <c r="K21" s="31"/>
      <c r="L21" s="6">
        <f>(996214.9*36.74371)/1000000</f>
        <v>36.604631383279006</v>
      </c>
      <c r="M21" s="6"/>
      <c r="N21" s="13"/>
      <c r="P21" s="83"/>
      <c r="Q21" s="86"/>
      <c r="R21" s="117"/>
      <c r="S21" s="117"/>
    </row>
    <row r="22" spans="1:24" ht="16.5" customHeight="1">
      <c r="A22" s="15" t="s">
        <v>49</v>
      </c>
      <c r="B22" s="83"/>
      <c r="C22" s="83"/>
      <c r="D22" s="83"/>
      <c r="E22" s="32">
        <f>N18</f>
        <v>1686.6320000000001</v>
      </c>
      <c r="F22" s="88"/>
      <c r="G22" s="6">
        <f>SUM(G19:G21)</f>
        <v>6.2548339864770011</v>
      </c>
      <c r="H22" s="13">
        <f>SUM(E22:G22)</f>
        <v>1692.8868339864771</v>
      </c>
      <c r="I22" s="83"/>
      <c r="J22" s="6">
        <f>SUM(J19:J21)</f>
        <v>574.25732555816921</v>
      </c>
      <c r="K22" s="31">
        <f>M22-L22-J22</f>
        <v>79.607796190256749</v>
      </c>
      <c r="L22" s="6">
        <f>SUM(L19:L21)</f>
        <v>242.63371223805103</v>
      </c>
      <c r="M22" s="6">
        <f>H22-N22</f>
        <v>896.49883398647705</v>
      </c>
      <c r="N22" s="13">
        <v>796.38800000000003</v>
      </c>
      <c r="P22" s="83"/>
    </row>
    <row r="23" spans="1:24" ht="16.5" customHeight="1">
      <c r="A23" s="15" t="s">
        <v>50</v>
      </c>
      <c r="B23" s="83"/>
      <c r="C23" s="83"/>
      <c r="D23" s="83"/>
      <c r="E23" s="32"/>
      <c r="F23" s="88"/>
      <c r="G23" s="6">
        <f>(166684.6*36.744)/1000000</f>
        <v>6.1246589424</v>
      </c>
      <c r="H23" s="13"/>
      <c r="I23" s="83"/>
      <c r="J23" s="6">
        <f>((5236516*0.907185)*36.74371)/1000000</f>
        <v>174.55058162980768</v>
      </c>
      <c r="K23" s="31"/>
      <c r="L23" s="6">
        <f>(823622.5*36.74371)/1000000</f>
        <v>30.262946289475</v>
      </c>
      <c r="M23" s="6"/>
      <c r="N23" s="13"/>
    </row>
    <row r="24" spans="1:24" ht="16.5" customHeight="1">
      <c r="A24" s="15" t="s">
        <v>51</v>
      </c>
      <c r="B24" s="83"/>
      <c r="C24" s="83"/>
      <c r="D24" s="83"/>
      <c r="E24" s="32"/>
      <c r="F24" s="88"/>
      <c r="G24" s="6">
        <f>(114331.7*36.74371)/1000000</f>
        <v>4.2009708286069998</v>
      </c>
      <c r="H24" s="13"/>
      <c r="I24" s="83"/>
      <c r="J24" s="6">
        <f>((5545001*0.907185)*36.74371)/1000000</f>
        <v>184.83341780830332</v>
      </c>
      <c r="K24" s="31"/>
      <c r="L24" s="6">
        <f>(1276967.3*36.74371)/1000000</f>
        <v>46.920516150683</v>
      </c>
      <c r="M24" s="6"/>
      <c r="N24" s="13"/>
      <c r="Q24" s="86"/>
    </row>
    <row r="25" spans="1:24" ht="16.5" customHeight="1">
      <c r="A25" s="15" t="s">
        <v>52</v>
      </c>
      <c r="B25" s="83"/>
      <c r="C25" s="83"/>
      <c r="D25" s="83"/>
      <c r="E25" s="32"/>
      <c r="F25" s="88"/>
      <c r="G25" s="6">
        <f>(45509.7*36.74371)/1000000</f>
        <v>1.672195218987</v>
      </c>
      <c r="H25" s="13"/>
      <c r="I25" s="83"/>
      <c r="J25" s="6">
        <f>((5069870*0.907185)*36.74371)/1000000</f>
        <v>168.99571342616218</v>
      </c>
      <c r="K25" s="31"/>
      <c r="L25" s="6">
        <f>(1704788.5*36.74371)/1000000</f>
        <v>62.640254255335002</v>
      </c>
      <c r="M25" s="6"/>
      <c r="N25" s="13"/>
    </row>
    <row r="26" spans="1:24" ht="16.5" customHeight="1">
      <c r="A26" s="15" t="s">
        <v>53</v>
      </c>
      <c r="B26" s="83"/>
      <c r="C26" s="83"/>
      <c r="D26" s="83"/>
      <c r="E26" s="32">
        <f>N22</f>
        <v>796.38800000000003</v>
      </c>
      <c r="F26" s="88"/>
      <c r="G26" s="6">
        <f>SUM(G23:G25)</f>
        <v>11.997824989993999</v>
      </c>
      <c r="H26" s="13">
        <f>SUM(E26:G26)</f>
        <v>808.38582498999403</v>
      </c>
      <c r="I26" s="83"/>
      <c r="J26" s="6">
        <f>SUM(J23:J25)</f>
        <v>528.37971286427319</v>
      </c>
      <c r="K26" s="31">
        <f>M26-J26-L26</f>
        <v>-124.00160456977213</v>
      </c>
      <c r="L26" s="6">
        <f>SUM(L23:L25)</f>
        <v>139.823716695493</v>
      </c>
      <c r="M26" s="6">
        <f>H26-N26</f>
        <v>544.20182498999407</v>
      </c>
      <c r="N26" s="101">
        <v>264.18400000000003</v>
      </c>
      <c r="Q26" s="153"/>
    </row>
    <row r="27" spans="1:24" ht="16.5" customHeight="1">
      <c r="A27" s="15" t="s">
        <v>29</v>
      </c>
      <c r="B27" s="83"/>
      <c r="C27" s="83"/>
      <c r="D27" s="83"/>
      <c r="E27" s="32"/>
      <c r="F27" s="88"/>
      <c r="G27" s="104">
        <f>(667064.2*36.74371)/1000000</f>
        <v>24.510413516181998</v>
      </c>
      <c r="H27" s="94"/>
      <c r="I27" s="95"/>
      <c r="J27" s="6">
        <f>SUM(J14,J18,J22,J26)</f>
        <v>2211.9384453555185</v>
      </c>
      <c r="K27" s="96"/>
      <c r="L27" s="6">
        <f>(53874367*36.74371)/1000000</f>
        <v>1979.5441174815701</v>
      </c>
      <c r="M27" s="6"/>
      <c r="N27" s="13"/>
      <c r="Q27" s="86"/>
    </row>
    <row r="28" spans="1:24" ht="16.5" customHeight="1">
      <c r="A28" s="15"/>
      <c r="B28" s="83"/>
      <c r="C28" s="83"/>
      <c r="D28" s="83"/>
      <c r="E28" s="32"/>
      <c r="F28" s="32"/>
      <c r="G28" s="6"/>
      <c r="H28" s="13"/>
      <c r="I28" s="83"/>
      <c r="J28" s="13"/>
      <c r="K28" s="31"/>
      <c r="L28" s="6"/>
      <c r="M28" s="6"/>
      <c r="N28" s="13"/>
      <c r="R28" s="83"/>
    </row>
    <row r="29" spans="1:24" ht="16.5" customHeight="1">
      <c r="A29" s="30" t="s">
        <v>54</v>
      </c>
      <c r="B29" s="83"/>
      <c r="C29" s="83"/>
      <c r="D29" s="83"/>
      <c r="E29" s="32"/>
      <c r="F29" s="32"/>
      <c r="G29" s="6"/>
      <c r="H29" s="13"/>
      <c r="I29" s="83"/>
      <c r="J29" s="13"/>
      <c r="K29" s="31"/>
      <c r="L29" s="6"/>
      <c r="M29" s="6"/>
      <c r="N29" s="13"/>
      <c r="Q29" s="83"/>
      <c r="V29" s="98"/>
      <c r="X29" s="99"/>
    </row>
    <row r="30" spans="1:24" ht="16.5" customHeight="1">
      <c r="A30" s="15" t="s">
        <v>38</v>
      </c>
      <c r="B30" s="83"/>
      <c r="C30" s="83"/>
      <c r="D30" s="83"/>
      <c r="E30" s="32"/>
      <c r="F30" s="32"/>
      <c r="G30" s="6">
        <f>(37479.5*36.74371)/1000000</f>
        <v>1.3771358789450001</v>
      </c>
      <c r="H30" s="13"/>
      <c r="I30" s="83"/>
      <c r="J30" s="6">
        <f>((5242931*0.907185)*36.74371)/1000000</f>
        <v>174.76441502230665</v>
      </c>
      <c r="K30" s="31"/>
      <c r="L30" s="6">
        <f>(2498517*36.74371)/1000000</f>
        <v>91.80478407807</v>
      </c>
      <c r="M30" s="6"/>
      <c r="N30" s="13"/>
      <c r="T30" s="97"/>
    </row>
    <row r="31" spans="1:24" ht="16.5" customHeight="1">
      <c r="A31" s="15" t="s">
        <v>39</v>
      </c>
      <c r="B31" s="83"/>
      <c r="C31" s="83"/>
      <c r="D31" s="83"/>
      <c r="E31" s="32"/>
      <c r="F31" s="32"/>
      <c r="G31" s="6">
        <f>(19292.3*36.74371)/1000000</f>
        <v>0.70887067643300006</v>
      </c>
      <c r="H31" s="13"/>
      <c r="I31" s="83"/>
      <c r="J31" s="6">
        <f>((6041685*0.907185)*36.74371)/1000000</f>
        <v>201.38955572256145</v>
      </c>
      <c r="K31" s="31"/>
      <c r="L31" s="6">
        <f>(9422340.2*36.74371)/1000000</f>
        <v>346.21173583014195</v>
      </c>
      <c r="M31" s="6"/>
      <c r="N31" s="13"/>
      <c r="T31" s="97"/>
    </row>
    <row r="32" spans="1:24" ht="16.5" customHeight="1">
      <c r="A32" s="15" t="s">
        <v>40</v>
      </c>
      <c r="B32" s="83"/>
      <c r="C32" s="83"/>
      <c r="D32" s="83"/>
      <c r="E32" s="32"/>
      <c r="F32" s="32"/>
      <c r="G32" s="6">
        <f>(46381*36.74371)/1000000</f>
        <v>1.70421001351</v>
      </c>
      <c r="H32" s="13"/>
      <c r="I32" s="83"/>
      <c r="J32" s="6">
        <f>((6002708*0.907185)*36.74371)/1000000</f>
        <v>200.09032202974259</v>
      </c>
      <c r="K32" s="31"/>
      <c r="L32" s="6">
        <f>(7462119.8*36.74371)/1000000</f>
        <v>274.18596591645803</v>
      </c>
      <c r="M32" s="6"/>
      <c r="N32" s="108"/>
      <c r="T32" s="97"/>
    </row>
    <row r="33" spans="1:20" ht="16.5" customHeight="1">
      <c r="A33" s="15" t="s">
        <v>41</v>
      </c>
      <c r="B33" s="83"/>
      <c r="C33" s="83"/>
      <c r="D33" s="83"/>
      <c r="E33" s="32">
        <f>N26</f>
        <v>264.18400000000003</v>
      </c>
      <c r="F33" s="32">
        <v>4164.6769999999997</v>
      </c>
      <c r="G33" s="6">
        <f>SUM(G30:G32)</f>
        <v>3.7902165688880003</v>
      </c>
      <c r="H33" s="13">
        <f>SUM(E33:G33)</f>
        <v>4432.6512165688882</v>
      </c>
      <c r="I33" s="83"/>
      <c r="J33" s="6">
        <f>SUM(J30:J32)</f>
        <v>576.2442927746107</v>
      </c>
      <c r="K33" s="31">
        <f>M33-L33-J33</f>
        <v>143.48543796960746</v>
      </c>
      <c r="L33" s="6">
        <f>SUM(L30:L32)</f>
        <v>712.20248582467002</v>
      </c>
      <c r="M33" s="6">
        <f>H33-N33</f>
        <v>1431.9322165688882</v>
      </c>
      <c r="N33" s="109">
        <v>3000.7190000000001</v>
      </c>
      <c r="T33" s="97"/>
    </row>
    <row r="34" spans="1:20" ht="16.5" customHeight="1">
      <c r="A34" s="15" t="s">
        <v>42</v>
      </c>
      <c r="B34" s="83"/>
      <c r="C34" s="83"/>
      <c r="D34" s="83"/>
      <c r="E34" s="32"/>
      <c r="F34" s="32"/>
      <c r="G34" s="6">
        <f>(18649.8*36.74371)/1000000</f>
        <v>0.68526284275799998</v>
      </c>
      <c r="H34" s="13"/>
      <c r="I34" s="83"/>
      <c r="J34" s="6">
        <f>((6128558*0.907185)*36.74371)/1000000</f>
        <v>204.28532319045925</v>
      </c>
      <c r="K34" s="31"/>
      <c r="L34" s="6">
        <f>(4738450.9*36.74371)/1000000</f>
        <v>174.10826571883902</v>
      </c>
      <c r="M34" s="6"/>
      <c r="N34" s="109"/>
      <c r="T34" s="97"/>
    </row>
    <row r="35" spans="1:20" ht="16.5" customHeight="1">
      <c r="A35" s="15" t="s">
        <v>43</v>
      </c>
      <c r="B35" s="83"/>
      <c r="C35" s="83"/>
      <c r="D35" s="83"/>
      <c r="E35" s="32"/>
      <c r="F35" s="32"/>
      <c r="G35" s="6">
        <f>(25838.2*36.74371)/1000000</f>
        <v>0.94939132772200008</v>
      </c>
      <c r="H35" s="13"/>
      <c r="I35" s="83"/>
      <c r="J35" s="6">
        <f>((5844947*0.907185)*36.74371)/1000000</f>
        <v>194.83162057471029</v>
      </c>
      <c r="K35" s="31"/>
      <c r="L35" s="6">
        <f>(5961252*36.74371)/1000000</f>
        <v>219.03851472491999</v>
      </c>
      <c r="M35" s="6"/>
      <c r="N35" s="109"/>
      <c r="T35" s="97"/>
    </row>
    <row r="36" spans="1:20" ht="16.5" customHeight="1">
      <c r="A36" s="15" t="s">
        <v>44</v>
      </c>
      <c r="B36" s="83"/>
      <c r="C36" s="83"/>
      <c r="D36" s="83"/>
      <c r="E36" s="32"/>
      <c r="F36" s="32"/>
      <c r="G36" s="6">
        <f>(24300.7*36.74371)/1000000</f>
        <v>0.89289787359700001</v>
      </c>
      <c r="H36" s="13"/>
      <c r="I36" s="83"/>
      <c r="J36" s="6">
        <f>((5817974*0.907185)*36.74371)/1000000</f>
        <v>193.93252032593784</v>
      </c>
      <c r="K36" s="31"/>
      <c r="L36" s="6">
        <f>(5263949.5*36.74371)/1000000</f>
        <v>193.417033882645</v>
      </c>
      <c r="M36" s="6"/>
      <c r="N36" s="109"/>
      <c r="T36" s="97"/>
    </row>
    <row r="37" spans="1:20" ht="16.5" customHeight="1">
      <c r="A37" s="15" t="s">
        <v>45</v>
      </c>
      <c r="B37" s="83"/>
      <c r="C37" s="83"/>
      <c r="D37" s="83"/>
      <c r="E37" s="32">
        <f>N33</f>
        <v>3000.7190000000001</v>
      </c>
      <c r="F37" s="32"/>
      <c r="G37" s="6">
        <f>SUM(G34:G36)</f>
        <v>2.5275520440770003</v>
      </c>
      <c r="H37" s="13">
        <f>SUM(E37:G37)</f>
        <v>3003.2465520440769</v>
      </c>
      <c r="I37" s="83"/>
      <c r="J37" s="6">
        <f>SUM(J34:J36)</f>
        <v>593.04946409110744</v>
      </c>
      <c r="K37" s="31">
        <f>M37-L37-J37</f>
        <v>-21.445726373434468</v>
      </c>
      <c r="L37" s="6">
        <f>SUM(L34:L36)</f>
        <v>586.56381432640399</v>
      </c>
      <c r="M37" s="6">
        <f>H37-N37</f>
        <v>1158.167552044077</v>
      </c>
      <c r="N37" s="109">
        <v>1845.079</v>
      </c>
      <c r="T37" s="97"/>
    </row>
    <row r="38" spans="1:20" ht="16.5" customHeight="1">
      <c r="A38" s="15" t="s">
        <v>46</v>
      </c>
      <c r="B38" s="83"/>
      <c r="C38" s="83"/>
      <c r="D38" s="83"/>
      <c r="E38" s="32"/>
      <c r="F38" s="32"/>
      <c r="G38" s="6">
        <f>(144280.7*36.74371)/1000000</f>
        <v>5.3014081993970006</v>
      </c>
      <c r="H38" s="13"/>
      <c r="I38" s="83"/>
      <c r="J38" s="6">
        <f>((6111759*0.907185)*36.74371)/1000000</f>
        <v>203.72535636885513</v>
      </c>
      <c r="K38" s="31"/>
      <c r="L38" s="6">
        <f>(3054246.9*36.74371)/1000000</f>
        <v>112.22436236199898</v>
      </c>
      <c r="M38" s="6"/>
      <c r="N38" s="109"/>
      <c r="T38" s="97"/>
    </row>
    <row r="39" spans="1:20" ht="16.5" customHeight="1">
      <c r="A39" s="15" t="s">
        <v>47</v>
      </c>
      <c r="B39" s="83"/>
      <c r="C39" s="83"/>
      <c r="D39" s="83"/>
      <c r="E39" s="32"/>
      <c r="F39" s="32"/>
      <c r="G39" s="6">
        <f>(57199.7*36.74371)/1000000</f>
        <v>2.101729188887</v>
      </c>
      <c r="H39" s="13"/>
      <c r="I39" s="83"/>
      <c r="J39" s="6">
        <f>((5332051*0.907185)*36.74371)/1000000</f>
        <v>177.73508251092858</v>
      </c>
      <c r="K39" s="31"/>
      <c r="L39" s="6">
        <f>(1769751.6*36.74371)/1000000</f>
        <v>65.027239562436009</v>
      </c>
      <c r="M39" s="6"/>
      <c r="N39" s="109"/>
      <c r="T39" s="97"/>
    </row>
    <row r="40" spans="1:20" ht="16.5" customHeight="1">
      <c r="A40" s="15" t="s">
        <v>48</v>
      </c>
      <c r="B40" s="83"/>
      <c r="C40" s="83"/>
      <c r="D40" s="83"/>
      <c r="E40" s="32"/>
      <c r="F40" s="32"/>
      <c r="G40" s="6">
        <f>(32603.2*36.74371)/1000000</f>
        <v>1.1979625258719999</v>
      </c>
      <c r="H40" s="13"/>
      <c r="I40" s="83"/>
      <c r="J40" s="6">
        <f>((5754152*0.907185)*36.74371)/1000000</f>
        <v>191.80511973730648</v>
      </c>
      <c r="K40" s="31"/>
      <c r="L40" s="6">
        <f>(1410073.2*36.74371)/1000000</f>
        <v>51.811320739571997</v>
      </c>
      <c r="M40" s="6"/>
      <c r="N40" s="109"/>
      <c r="T40" s="97"/>
    </row>
    <row r="41" spans="1:20" ht="16.5" customHeight="1">
      <c r="A41" s="15" t="s">
        <v>55</v>
      </c>
      <c r="B41" s="83"/>
      <c r="C41" s="83"/>
      <c r="D41" s="83"/>
      <c r="E41" s="32">
        <f>N37</f>
        <v>1845.079</v>
      </c>
      <c r="F41" s="32"/>
      <c r="G41" s="6">
        <f>SUM(G38:G40)</f>
        <v>8.6010999141560003</v>
      </c>
      <c r="H41" s="13">
        <f>SUM(E41:G41)</f>
        <v>1853.680099914156</v>
      </c>
      <c r="I41" s="83"/>
      <c r="J41" s="6">
        <f>SUM(J38:J40)</f>
        <v>573.26555861709016</v>
      </c>
      <c r="K41" s="13">
        <f>M41-L41-J41</f>
        <v>81.301618633058979</v>
      </c>
      <c r="L41" s="6">
        <f>SUM(L38:L40)</f>
        <v>229.06292266400698</v>
      </c>
      <c r="M41" s="6">
        <f>H41-N41</f>
        <v>883.63009991415606</v>
      </c>
      <c r="N41" s="13">
        <v>970.05</v>
      </c>
      <c r="T41" s="97"/>
    </row>
    <row r="42" spans="1:20" ht="16.5" customHeight="1">
      <c r="A42" s="15" t="s">
        <v>50</v>
      </c>
      <c r="B42" s="83"/>
      <c r="C42" s="83"/>
      <c r="D42" s="83"/>
      <c r="E42" s="32"/>
      <c r="F42" s="32"/>
      <c r="G42" s="6">
        <f>(31221.6*36.74371)/1000000</f>
        <v>1.1471974161359999</v>
      </c>
      <c r="H42" s="13"/>
      <c r="I42" s="83"/>
      <c r="J42" s="6">
        <f>((5510461*0.907185)*36.74371)/1000000</f>
        <v>183.682084156407</v>
      </c>
      <c r="K42" s="13"/>
      <c r="L42" s="6">
        <f>(1338976.8*36.74371)/1000000</f>
        <v>49.198975235927996</v>
      </c>
      <c r="M42" s="6"/>
      <c r="N42" s="13"/>
      <c r="T42" s="97"/>
    </row>
    <row r="43" spans="1:20" ht="16.5" customHeight="1">
      <c r="A43" s="15" t="s">
        <v>51</v>
      </c>
      <c r="B43" s="83"/>
      <c r="C43" s="83"/>
      <c r="D43" s="83"/>
      <c r="E43" s="32"/>
      <c r="F43" s="32"/>
      <c r="G43" s="6">
        <f>(59884.6*36.74371)/1000000</f>
        <v>2.2003823758659999</v>
      </c>
      <c r="H43" s="13"/>
      <c r="I43" s="83"/>
      <c r="J43" s="6">
        <f>((5798234*0.907185)*36.74371)/1000000</f>
        <v>193.27452014387549</v>
      </c>
      <c r="K43" s="13"/>
      <c r="L43" s="6">
        <f>(1494549.2*36.74371)/1000000</f>
        <v>54.915282385532002</v>
      </c>
      <c r="M43" s="6"/>
      <c r="N43" s="13"/>
      <c r="T43" s="97"/>
    </row>
    <row r="44" spans="1:20" ht="16.5" customHeight="1">
      <c r="A44" s="15" t="s">
        <v>52</v>
      </c>
      <c r="B44" s="83"/>
      <c r="C44" s="83"/>
      <c r="D44" s="83"/>
      <c r="E44" s="32"/>
      <c r="F44" s="32"/>
      <c r="G44" s="6">
        <f>(69907.6*36.74371)/1000000</f>
        <v>2.5686645811960003</v>
      </c>
      <c r="H44" s="13"/>
      <c r="I44" s="83"/>
      <c r="J44" s="6">
        <f>((5026648*0.907185)*36.74371)/1000000</f>
        <v>167.55497969419164</v>
      </c>
      <c r="K44" s="13"/>
      <c r="L44" s="6">
        <f>(1714258.5*36.74371)/1000000</f>
        <v>62.988217189034998</v>
      </c>
      <c r="M44" s="6"/>
      <c r="N44" s="13"/>
      <c r="T44" s="97"/>
    </row>
    <row r="45" spans="1:20" ht="16.5" customHeight="1">
      <c r="A45" s="15" t="s">
        <v>53</v>
      </c>
      <c r="B45" s="83"/>
      <c r="C45" s="83"/>
      <c r="D45" s="83"/>
      <c r="E45" s="32">
        <f>N41</f>
        <v>970.05</v>
      </c>
      <c r="F45" s="32"/>
      <c r="G45" s="6">
        <f>SUM(G42:G44)</f>
        <v>5.9162443731979995</v>
      </c>
      <c r="H45" s="13">
        <f>SUM(E45:G45)</f>
        <v>975.96624437319792</v>
      </c>
      <c r="I45" s="83"/>
      <c r="J45" s="6">
        <f>SUM(J42:J44)</f>
        <v>544.51158399447411</v>
      </c>
      <c r="K45" s="31">
        <f>M45-J45-L45</f>
        <v>-77.657814431771158</v>
      </c>
      <c r="L45" s="6">
        <f>SUM(L42:L44)</f>
        <v>167.10247481049498</v>
      </c>
      <c r="M45" s="6">
        <f>H45-N45</f>
        <v>633.95624437319793</v>
      </c>
      <c r="N45" s="101">
        <v>342.01</v>
      </c>
      <c r="Q45" s="153"/>
    </row>
    <row r="46" spans="1:20" ht="16.5" customHeight="1">
      <c r="A46" s="15" t="s">
        <v>29</v>
      </c>
      <c r="B46" s="83"/>
      <c r="C46" s="83"/>
      <c r="D46" s="83"/>
      <c r="E46" s="32"/>
      <c r="F46" s="32"/>
      <c r="G46" s="180">
        <f>(567039*36.74371)/1000000</f>
        <v>20.835116574689998</v>
      </c>
      <c r="H46" s="94"/>
      <c r="I46" s="95"/>
      <c r="J46" s="6">
        <f>SUM(J33,J37,J41,J45)</f>
        <v>2287.0708994772822</v>
      </c>
      <c r="K46" s="6"/>
      <c r="L46" s="180">
        <f>(46128.4855*36.74371)/1000</f>
        <v>1694.931693951205</v>
      </c>
      <c r="M46" s="6"/>
      <c r="N46" s="13"/>
      <c r="Q46" s="86"/>
    </row>
    <row r="47" spans="1:20" ht="16.5" customHeight="1">
      <c r="A47" s="79" t="s">
        <v>56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80"/>
      <c r="M47" s="69"/>
      <c r="N47" s="69"/>
      <c r="T47" s="97"/>
    </row>
    <row r="48" spans="1:20" ht="16.5" customHeight="1">
      <c r="A48" s="15" t="s">
        <v>57</v>
      </c>
      <c r="B48" s="15"/>
      <c r="C48" s="15"/>
      <c r="D48" s="15"/>
      <c r="E48" s="35"/>
      <c r="F48" s="35"/>
      <c r="G48" s="35"/>
      <c r="H48" s="35"/>
      <c r="I48" s="35"/>
      <c r="J48" s="35"/>
      <c r="K48" s="35"/>
      <c r="L48" s="35"/>
      <c r="M48" s="35"/>
      <c r="N48" s="35"/>
      <c r="T48" s="97"/>
    </row>
    <row r="49" spans="1:20" ht="16.5" customHeight="1">
      <c r="A49" s="20" t="s">
        <v>58</v>
      </c>
      <c r="B49" s="36">
        <f>Contents!A18</f>
        <v>45581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T49" s="97"/>
    </row>
    <row r="50" spans="1:20" ht="16.5" customHeight="1">
      <c r="T50" s="97"/>
    </row>
    <row r="51" spans="1:20" ht="16.5" customHeight="1">
      <c r="K51" s="34"/>
      <c r="T51" s="97"/>
    </row>
    <row r="52" spans="1:20" ht="16.5" customHeight="1">
      <c r="K52" s="93"/>
      <c r="P52" s="34"/>
      <c r="T52" s="97"/>
    </row>
    <row r="53" spans="1:20" ht="16.5" customHeight="1">
      <c r="T53" s="97"/>
    </row>
    <row r="54" spans="1:20" ht="16.5" customHeight="1">
      <c r="J54" s="34"/>
      <c r="L54" s="34"/>
      <c r="T54" s="97"/>
    </row>
    <row r="55" spans="1:20" ht="16.5" customHeight="1">
      <c r="J55" s="34"/>
      <c r="L55" s="34"/>
      <c r="T55" s="97"/>
    </row>
    <row r="56" spans="1:20" ht="16.5" customHeight="1">
      <c r="J56" s="34"/>
      <c r="L56" s="34"/>
      <c r="T56" s="97"/>
    </row>
    <row r="57" spans="1:20" ht="16.5" customHeight="1">
      <c r="T57" s="97"/>
    </row>
    <row r="58" spans="1:20" ht="16.5" customHeight="1">
      <c r="T58" s="97"/>
    </row>
    <row r="59" spans="1:20" ht="16.5" customHeight="1">
      <c r="T59" s="97"/>
    </row>
    <row r="60" spans="1:20" ht="16.5" customHeight="1">
      <c r="T60" s="97"/>
    </row>
    <row r="61" spans="1:20" ht="16.5" customHeight="1"/>
    <row r="62" spans="1:20" ht="16.5" customHeight="1"/>
    <row r="63" spans="1:20" ht="16.5" customHeight="1"/>
    <row r="64" spans="1:20" ht="16.5" customHeight="1"/>
    <row r="65" spans="15:73" ht="16.5" customHeight="1">
      <c r="O65" s="83"/>
      <c r="P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</row>
    <row r="66" spans="15:73">
      <c r="O66" s="83"/>
      <c r="P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</row>
    <row r="67" spans="15:73">
      <c r="O67" s="83"/>
      <c r="P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</row>
    <row r="68" spans="15:73">
      <c r="O68" s="83"/>
      <c r="P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</row>
    <row r="69" spans="15:73">
      <c r="O69" s="83"/>
      <c r="P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</row>
    <row r="70" spans="15:73">
      <c r="O70" s="83"/>
      <c r="P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</row>
    <row r="71" spans="15:73">
      <c r="O71" s="83"/>
      <c r="P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</row>
    <row r="72" spans="15:73">
      <c r="O72" s="83"/>
      <c r="P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</row>
    <row r="73" spans="15:73">
      <c r="O73" s="83"/>
      <c r="P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</row>
    <row r="74" spans="15:73">
      <c r="O74" s="83"/>
      <c r="P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</row>
    <row r="75" spans="15:73">
      <c r="O75" s="83"/>
      <c r="P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</row>
    <row r="76" spans="15:73">
      <c r="O76" s="83"/>
      <c r="P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</row>
    <row r="77" spans="15:73">
      <c r="O77" s="83"/>
      <c r="P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</row>
    <row r="78" spans="15:73">
      <c r="O78" s="83"/>
      <c r="P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</row>
    <row r="79" spans="15:73">
      <c r="O79" s="83"/>
      <c r="P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</row>
    <row r="80" spans="15:73">
      <c r="O80" s="83"/>
      <c r="P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</row>
    <row r="81" spans="15:73">
      <c r="O81" s="83"/>
      <c r="P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</row>
    <row r="82" spans="15:73">
      <c r="O82" s="83"/>
      <c r="P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</row>
    <row r="83" spans="15:73">
      <c r="O83" s="83"/>
      <c r="P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</row>
    <row r="84" spans="15:73">
      <c r="O84" s="83"/>
      <c r="P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</row>
    <row r="85" spans="15:73">
      <c r="O85" s="83"/>
      <c r="P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</row>
    <row r="86" spans="15:73">
      <c r="O86" s="83"/>
      <c r="P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</row>
    <row r="87" spans="15:73">
      <c r="O87" s="83"/>
      <c r="P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</row>
    <row r="88" spans="15:73">
      <c r="O88" s="83"/>
      <c r="P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</row>
    <row r="89" spans="15:73">
      <c r="O89" s="83"/>
      <c r="P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</row>
    <row r="90" spans="15:73">
      <c r="O90" s="83"/>
      <c r="P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</row>
    <row r="91" spans="15:73">
      <c r="O91" s="83"/>
      <c r="P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</row>
    <row r="92" spans="15:73">
      <c r="O92" s="83"/>
      <c r="P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</row>
    <row r="93" spans="15:73"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</row>
    <row r="94" spans="15:73"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</row>
    <row r="95" spans="15:73"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</row>
    <row r="96" spans="15:73"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</row>
    <row r="97" spans="15:73"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</row>
    <row r="98" spans="15:73"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</row>
    <row r="99" spans="15:73"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</row>
    <row r="100" spans="15:73"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</row>
    <row r="101" spans="15:73"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</row>
    <row r="102" spans="15:73"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</row>
    <row r="103" spans="15:73"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</row>
    <row r="104" spans="15:73"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</row>
    <row r="105" spans="15:73"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</row>
    <row r="106" spans="15:73"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</row>
    <row r="107" spans="15:73"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</row>
    <row r="108" spans="15:73"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</row>
    <row r="109" spans="15:73"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</row>
    <row r="110" spans="15:73"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</row>
    <row r="111" spans="15:73"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</row>
    <row r="112" spans="15:73"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</row>
    <row r="113" spans="15:73"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</row>
    <row r="114" spans="15:73"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</row>
    <row r="115" spans="15:73"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</row>
    <row r="116" spans="15:73"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</row>
    <row r="117" spans="15:73"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</row>
    <row r="118" spans="15:73"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</row>
    <row r="119" spans="15:73"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</row>
    <row r="120" spans="15:73"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</row>
    <row r="121" spans="15:73"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</row>
    <row r="122" spans="15:73"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</row>
    <row r="123" spans="15:73"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</row>
    <row r="124" spans="15:73"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</row>
    <row r="125" spans="15:73"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</row>
    <row r="126" spans="15:73"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</row>
    <row r="127" spans="15:73"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</row>
    <row r="128" spans="15:73"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</row>
    <row r="129" spans="15:73"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</row>
    <row r="130" spans="15:73"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</row>
    <row r="131" spans="15:73"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</row>
    <row r="132" spans="15:73"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</row>
    <row r="133" spans="15:73"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</row>
    <row r="134" spans="15:73"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</row>
    <row r="135" spans="15:73"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</row>
    <row r="136" spans="15:73"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83"/>
      <c r="BK136" s="83"/>
      <c r="BL136" s="83"/>
      <c r="BM136" s="83"/>
      <c r="BN136" s="83"/>
      <c r="BO136" s="83"/>
      <c r="BP136" s="83"/>
      <c r="BQ136" s="83"/>
      <c r="BR136" s="83"/>
      <c r="BS136" s="83"/>
      <c r="BT136" s="83"/>
      <c r="BU136" s="83"/>
    </row>
    <row r="137" spans="15:73"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</row>
    <row r="138" spans="15:73"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</row>
    <row r="139" spans="15:73"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  <c r="BI139" s="83"/>
      <c r="BJ139" s="83"/>
      <c r="BK139" s="83"/>
      <c r="BL139" s="83"/>
      <c r="BM139" s="83"/>
      <c r="BN139" s="83"/>
      <c r="BO139" s="83"/>
      <c r="BP139" s="83"/>
      <c r="BQ139" s="83"/>
      <c r="BR139" s="83"/>
      <c r="BS139" s="83"/>
      <c r="BT139" s="83"/>
      <c r="BU139" s="83"/>
    </row>
    <row r="140" spans="15:73"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</row>
    <row r="141" spans="15:73"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</row>
    <row r="142" spans="15:73"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  <c r="BI142" s="83"/>
      <c r="BJ142" s="83"/>
      <c r="BK142" s="83"/>
      <c r="BL142" s="83"/>
      <c r="BM142" s="83"/>
      <c r="BN142" s="83"/>
      <c r="BO142" s="83"/>
      <c r="BP142" s="83"/>
      <c r="BQ142" s="83"/>
      <c r="BR142" s="83"/>
      <c r="BS142" s="83"/>
      <c r="BT142" s="83"/>
      <c r="BU142" s="83"/>
    </row>
    <row r="143" spans="15:73"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3"/>
      <c r="BJ143" s="83"/>
      <c r="BK143" s="83"/>
      <c r="BL143" s="83"/>
      <c r="BM143" s="83"/>
      <c r="BN143" s="83"/>
      <c r="BO143" s="83"/>
      <c r="BP143" s="83"/>
      <c r="BQ143" s="83"/>
      <c r="BR143" s="83"/>
      <c r="BS143" s="83"/>
      <c r="BT143" s="83"/>
      <c r="BU143" s="83"/>
    </row>
    <row r="144" spans="15:73"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</row>
    <row r="145" spans="15:73"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</row>
    <row r="146" spans="15:73"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</row>
    <row r="147" spans="15:73"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</row>
    <row r="148" spans="15:73"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</row>
    <row r="149" spans="15:73"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</row>
    <row r="150" spans="15:73"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</row>
    <row r="151" spans="15:73"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</row>
    <row r="152" spans="15:73"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</row>
    <row r="153" spans="15:73"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83"/>
      <c r="BR153" s="83"/>
      <c r="BS153" s="83"/>
      <c r="BT153" s="83"/>
      <c r="BU153" s="83"/>
    </row>
    <row r="154" spans="15:73"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</row>
    <row r="155" spans="15:73"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</row>
    <row r="156" spans="15:73"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83"/>
      <c r="BK156" s="83"/>
      <c r="BL156" s="83"/>
      <c r="BM156" s="83"/>
      <c r="BN156" s="83"/>
      <c r="BO156" s="83"/>
      <c r="BP156" s="83"/>
      <c r="BQ156" s="83"/>
      <c r="BR156" s="83"/>
      <c r="BS156" s="83"/>
      <c r="BT156" s="83"/>
      <c r="BU156" s="83"/>
    </row>
    <row r="157" spans="15:73"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</row>
    <row r="158" spans="15:73"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83"/>
      <c r="BP158" s="83"/>
      <c r="BQ158" s="83"/>
      <c r="BR158" s="83"/>
      <c r="BS158" s="83"/>
      <c r="BT158" s="83"/>
      <c r="BU158" s="83"/>
    </row>
    <row r="159" spans="15:73"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3"/>
    </row>
    <row r="160" spans="15:73"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</row>
    <row r="161" spans="15:73"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</row>
    <row r="162" spans="15:73"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</row>
    <row r="163" spans="15:73"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</row>
    <row r="164" spans="15:73"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</row>
    <row r="165" spans="15:73"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</row>
    <row r="166" spans="15:73"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</row>
    <row r="167" spans="15:73"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</row>
    <row r="168" spans="15:73"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</row>
    <row r="169" spans="15:73"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</row>
    <row r="170" spans="15:73"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</row>
    <row r="171" spans="15:73"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</row>
    <row r="172" spans="15:73"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</row>
    <row r="173" spans="15:73"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</row>
    <row r="174" spans="15:73"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</row>
    <row r="175" spans="15:73"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</row>
    <row r="176" spans="15:73"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</row>
    <row r="177" spans="15:73"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  <c r="BI177" s="83"/>
      <c r="BJ177" s="83"/>
      <c r="BK177" s="83"/>
      <c r="BL177" s="83"/>
      <c r="BM177" s="83"/>
      <c r="BN177" s="83"/>
      <c r="BO177" s="83"/>
      <c r="BP177" s="83"/>
      <c r="BQ177" s="83"/>
      <c r="BR177" s="83"/>
      <c r="BS177" s="83"/>
      <c r="BT177" s="83"/>
      <c r="BU177" s="83"/>
    </row>
    <row r="178" spans="15:73"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</row>
    <row r="179" spans="15:73"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3"/>
      <c r="BT179" s="83"/>
      <c r="BU179" s="83"/>
    </row>
    <row r="180" spans="15:73"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  <c r="BR180" s="83"/>
      <c r="BS180" s="83"/>
      <c r="BT180" s="83"/>
      <c r="BU180" s="83"/>
    </row>
    <row r="181" spans="15:73"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  <c r="BS181" s="83"/>
      <c r="BT181" s="83"/>
      <c r="BU181" s="83"/>
    </row>
    <row r="182" spans="15:73"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</row>
    <row r="183" spans="15:73"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3"/>
      <c r="BT183" s="83"/>
      <c r="BU183" s="83"/>
    </row>
    <row r="184" spans="15:73"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3"/>
      <c r="BT184" s="83"/>
      <c r="BU184" s="83"/>
    </row>
    <row r="185" spans="15:73"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</row>
    <row r="186" spans="15:73"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</row>
    <row r="187" spans="15:73"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83"/>
      <c r="BQ187" s="83"/>
      <c r="BR187" s="83"/>
      <c r="BS187" s="83"/>
      <c r="BT187" s="83"/>
      <c r="BU187" s="83"/>
    </row>
    <row r="188" spans="15:73"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3"/>
      <c r="BT188" s="83"/>
      <c r="BU188" s="83"/>
    </row>
    <row r="189" spans="15:73"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</row>
    <row r="190" spans="15:73"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83"/>
      <c r="BQ190" s="83"/>
      <c r="BR190" s="83"/>
      <c r="BS190" s="83"/>
      <c r="BT190" s="83"/>
      <c r="BU190" s="83"/>
    </row>
    <row r="191" spans="15:73"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  <c r="BI191" s="83"/>
      <c r="BJ191" s="83"/>
      <c r="BK191" s="83"/>
      <c r="BL191" s="83"/>
      <c r="BM191" s="83"/>
      <c r="BN191" s="83"/>
      <c r="BO191" s="83"/>
      <c r="BP191" s="83"/>
      <c r="BQ191" s="83"/>
      <c r="BR191" s="83"/>
      <c r="BS191" s="83"/>
      <c r="BT191" s="83"/>
      <c r="BU191" s="83"/>
    </row>
    <row r="192" spans="15:73"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3"/>
      <c r="BT192" s="83"/>
      <c r="BU192" s="83"/>
    </row>
    <row r="193" spans="15:73"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3"/>
      <c r="BT193" s="83"/>
      <c r="BU193" s="83"/>
    </row>
    <row r="194" spans="15:73"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</row>
    <row r="195" spans="15:73"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  <c r="BI195" s="83"/>
      <c r="BJ195" s="83"/>
      <c r="BK195" s="83"/>
      <c r="BL195" s="83"/>
      <c r="BM195" s="83"/>
      <c r="BN195" s="83"/>
      <c r="BO195" s="83"/>
      <c r="BP195" s="83"/>
      <c r="BQ195" s="83"/>
      <c r="BR195" s="83"/>
      <c r="BS195" s="83"/>
      <c r="BT195" s="83"/>
      <c r="BU195" s="83"/>
    </row>
    <row r="196" spans="15:73"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3"/>
      <c r="BH196" s="83"/>
      <c r="BI196" s="83"/>
      <c r="BJ196" s="83"/>
      <c r="BK196" s="83"/>
      <c r="BL196" s="83"/>
      <c r="BM196" s="83"/>
      <c r="BN196" s="83"/>
      <c r="BO196" s="83"/>
      <c r="BP196" s="83"/>
      <c r="BQ196" s="83"/>
      <c r="BR196" s="83"/>
      <c r="BS196" s="83"/>
      <c r="BT196" s="83"/>
      <c r="BU196" s="83"/>
    </row>
    <row r="197" spans="15:73"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83"/>
      <c r="BG197" s="83"/>
      <c r="BH197" s="83"/>
      <c r="BI197" s="83"/>
      <c r="BJ197" s="83"/>
      <c r="BK197" s="83"/>
      <c r="BL197" s="83"/>
      <c r="BM197" s="83"/>
      <c r="BN197" s="83"/>
      <c r="BO197" s="83"/>
      <c r="BP197" s="83"/>
      <c r="BQ197" s="83"/>
      <c r="BR197" s="83"/>
      <c r="BS197" s="83"/>
      <c r="BT197" s="83"/>
      <c r="BU197" s="83"/>
    </row>
    <row r="198" spans="15:73"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  <c r="BM198" s="83"/>
      <c r="BN198" s="83"/>
      <c r="BO198" s="83"/>
      <c r="BP198" s="83"/>
      <c r="BQ198" s="83"/>
      <c r="BR198" s="83"/>
      <c r="BS198" s="83"/>
      <c r="BT198" s="83"/>
      <c r="BU198" s="83"/>
    </row>
    <row r="199" spans="15:73"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  <c r="BI199" s="83"/>
      <c r="BJ199" s="83"/>
      <c r="BK199" s="83"/>
      <c r="BL199" s="83"/>
      <c r="BM199" s="83"/>
      <c r="BN199" s="83"/>
      <c r="BO199" s="83"/>
      <c r="BP199" s="83"/>
      <c r="BQ199" s="83"/>
      <c r="BR199" s="83"/>
      <c r="BS199" s="83"/>
      <c r="BT199" s="83"/>
      <c r="BU199" s="83"/>
    </row>
    <row r="200" spans="15:73"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83"/>
      <c r="BS200" s="83"/>
      <c r="BT200" s="83"/>
      <c r="BU200" s="83"/>
    </row>
    <row r="201" spans="15:73"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  <c r="AV201" s="83"/>
      <c r="AW201" s="83"/>
      <c r="AX201" s="83"/>
      <c r="AY201" s="83"/>
      <c r="AZ201" s="83"/>
      <c r="BA201" s="83"/>
      <c r="BB201" s="83"/>
      <c r="BC201" s="83"/>
      <c r="BD201" s="83"/>
      <c r="BE201" s="83"/>
      <c r="BF201" s="83"/>
      <c r="BG201" s="83"/>
      <c r="BH201" s="83"/>
      <c r="BI201" s="83"/>
      <c r="BJ201" s="83"/>
      <c r="BK201" s="83"/>
      <c r="BL201" s="83"/>
      <c r="BM201" s="83"/>
      <c r="BN201" s="83"/>
      <c r="BO201" s="83"/>
      <c r="BP201" s="83"/>
      <c r="BQ201" s="83"/>
      <c r="BR201" s="83"/>
      <c r="BS201" s="83"/>
      <c r="BT201" s="83"/>
      <c r="BU201" s="83"/>
    </row>
    <row r="202" spans="15:73"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  <c r="AV202" s="83"/>
      <c r="AW202" s="83"/>
      <c r="AX202" s="83"/>
      <c r="AY202" s="83"/>
      <c r="AZ202" s="83"/>
      <c r="BA202" s="83"/>
      <c r="BB202" s="83"/>
      <c r="BC202" s="83"/>
      <c r="BD202" s="83"/>
      <c r="BE202" s="83"/>
      <c r="BF202" s="83"/>
      <c r="BG202" s="83"/>
      <c r="BH202" s="83"/>
      <c r="BI202" s="83"/>
      <c r="BJ202" s="83"/>
      <c r="BK202" s="83"/>
      <c r="BL202" s="83"/>
      <c r="BM202" s="83"/>
      <c r="BN202" s="83"/>
      <c r="BO202" s="83"/>
      <c r="BP202" s="83"/>
      <c r="BQ202" s="83"/>
      <c r="BR202" s="83"/>
      <c r="BS202" s="83"/>
      <c r="BT202" s="83"/>
      <c r="BU202" s="83"/>
    </row>
    <row r="203" spans="15:73"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  <c r="BA203" s="83"/>
      <c r="BB203" s="83"/>
      <c r="BC203" s="83"/>
      <c r="BD203" s="83"/>
      <c r="BE203" s="83"/>
      <c r="BF203" s="83"/>
      <c r="BG203" s="83"/>
      <c r="BH203" s="83"/>
      <c r="BI203" s="83"/>
      <c r="BJ203" s="83"/>
      <c r="BK203" s="83"/>
      <c r="BL203" s="83"/>
      <c r="BM203" s="83"/>
      <c r="BN203" s="83"/>
      <c r="BO203" s="83"/>
      <c r="BP203" s="83"/>
      <c r="BQ203" s="83"/>
      <c r="BR203" s="83"/>
      <c r="BS203" s="83"/>
      <c r="BT203" s="83"/>
      <c r="BU203" s="83"/>
    </row>
    <row r="204" spans="15:73"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83"/>
      <c r="BG204" s="83"/>
      <c r="BH204" s="83"/>
      <c r="BI204" s="83"/>
      <c r="BJ204" s="83"/>
      <c r="BK204" s="83"/>
      <c r="BL204" s="83"/>
      <c r="BM204" s="83"/>
      <c r="BN204" s="83"/>
      <c r="BO204" s="83"/>
      <c r="BP204" s="83"/>
      <c r="BQ204" s="83"/>
      <c r="BR204" s="83"/>
      <c r="BS204" s="83"/>
      <c r="BT204" s="83"/>
      <c r="BU204" s="83"/>
    </row>
    <row r="205" spans="15:73"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  <c r="BA205" s="83"/>
      <c r="BB205" s="83"/>
      <c r="BC205" s="83"/>
      <c r="BD205" s="83"/>
      <c r="BE205" s="83"/>
      <c r="BF205" s="83"/>
      <c r="BG205" s="83"/>
      <c r="BH205" s="83"/>
      <c r="BI205" s="83"/>
      <c r="BJ205" s="83"/>
      <c r="BK205" s="83"/>
      <c r="BL205" s="83"/>
      <c r="BM205" s="83"/>
      <c r="BN205" s="83"/>
      <c r="BO205" s="83"/>
      <c r="BP205" s="83"/>
      <c r="BQ205" s="83"/>
      <c r="BR205" s="83"/>
      <c r="BS205" s="83"/>
      <c r="BT205" s="83"/>
      <c r="BU205" s="83"/>
    </row>
    <row r="206" spans="15:73"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  <c r="BA206" s="83"/>
      <c r="BB206" s="83"/>
      <c r="BC206" s="83"/>
      <c r="BD206" s="83"/>
      <c r="BE206" s="83"/>
      <c r="BF206" s="83"/>
      <c r="BG206" s="83"/>
      <c r="BH206" s="83"/>
      <c r="BI206" s="83"/>
      <c r="BJ206" s="83"/>
      <c r="BK206" s="83"/>
      <c r="BL206" s="83"/>
      <c r="BM206" s="83"/>
      <c r="BN206" s="83"/>
      <c r="BO206" s="83"/>
      <c r="BP206" s="83"/>
      <c r="BQ206" s="83"/>
      <c r="BR206" s="83"/>
      <c r="BS206" s="83"/>
      <c r="BT206" s="83"/>
      <c r="BU206" s="83"/>
    </row>
    <row r="207" spans="15:73"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83"/>
      <c r="AW207" s="83"/>
      <c r="AX207" s="83"/>
      <c r="AY207" s="83"/>
      <c r="AZ207" s="83"/>
      <c r="BA207" s="83"/>
      <c r="BB207" s="83"/>
      <c r="BC207" s="83"/>
      <c r="BD207" s="83"/>
      <c r="BE207" s="83"/>
      <c r="BF207" s="83"/>
      <c r="BG207" s="83"/>
      <c r="BH207" s="83"/>
      <c r="BI207" s="83"/>
      <c r="BJ207" s="83"/>
      <c r="BK207" s="83"/>
      <c r="BL207" s="83"/>
      <c r="BM207" s="83"/>
      <c r="BN207" s="83"/>
      <c r="BO207" s="83"/>
      <c r="BP207" s="83"/>
      <c r="BQ207" s="83"/>
      <c r="BR207" s="83"/>
      <c r="BS207" s="83"/>
      <c r="BT207" s="83"/>
      <c r="BU207" s="83"/>
    </row>
    <row r="208" spans="15:73"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  <c r="BA208" s="83"/>
      <c r="BB208" s="83"/>
      <c r="BC208" s="83"/>
      <c r="BD208" s="83"/>
      <c r="BE208" s="83"/>
      <c r="BF208" s="83"/>
      <c r="BG208" s="83"/>
      <c r="BH208" s="83"/>
      <c r="BI208" s="83"/>
      <c r="BJ208" s="83"/>
      <c r="BK208" s="83"/>
      <c r="BL208" s="83"/>
      <c r="BM208" s="83"/>
      <c r="BN208" s="83"/>
      <c r="BO208" s="83"/>
      <c r="BP208" s="83"/>
      <c r="BQ208" s="83"/>
      <c r="BR208" s="83"/>
      <c r="BS208" s="83"/>
      <c r="BT208" s="83"/>
      <c r="BU208" s="83"/>
    </row>
    <row r="209" spans="15:73"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83"/>
      <c r="AW209" s="83"/>
      <c r="AX209" s="83"/>
      <c r="AY209" s="83"/>
      <c r="AZ209" s="83"/>
      <c r="BA209" s="83"/>
      <c r="BB209" s="83"/>
      <c r="BC209" s="83"/>
      <c r="BD209" s="83"/>
      <c r="BE209" s="83"/>
      <c r="BF209" s="83"/>
      <c r="BG209" s="83"/>
      <c r="BH209" s="83"/>
      <c r="BI209" s="83"/>
      <c r="BJ209" s="83"/>
      <c r="BK209" s="83"/>
      <c r="BL209" s="83"/>
      <c r="BM209" s="83"/>
      <c r="BN209" s="83"/>
      <c r="BO209" s="83"/>
      <c r="BP209" s="83"/>
      <c r="BQ209" s="83"/>
      <c r="BR209" s="83"/>
      <c r="BS209" s="83"/>
      <c r="BT209" s="83"/>
      <c r="BU209" s="83"/>
    </row>
    <row r="210" spans="15:73"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  <c r="BA210" s="83"/>
      <c r="BB210" s="83"/>
      <c r="BC210" s="83"/>
      <c r="BD210" s="83"/>
      <c r="BE210" s="83"/>
      <c r="BF210" s="83"/>
      <c r="BG210" s="83"/>
      <c r="BH210" s="83"/>
      <c r="BI210" s="83"/>
      <c r="BJ210" s="83"/>
      <c r="BK210" s="83"/>
      <c r="BL210" s="83"/>
      <c r="BM210" s="83"/>
      <c r="BN210" s="83"/>
      <c r="BO210" s="83"/>
      <c r="BP210" s="83"/>
      <c r="BQ210" s="83"/>
      <c r="BR210" s="83"/>
      <c r="BS210" s="83"/>
      <c r="BT210" s="83"/>
      <c r="BU210" s="83"/>
    </row>
    <row r="211" spans="15:73"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83"/>
      <c r="BD211" s="83"/>
      <c r="BE211" s="83"/>
      <c r="BF211" s="83"/>
      <c r="BG211" s="83"/>
      <c r="BH211" s="83"/>
      <c r="BI211" s="83"/>
      <c r="BJ211" s="83"/>
      <c r="BK211" s="83"/>
      <c r="BL211" s="83"/>
      <c r="BM211" s="83"/>
      <c r="BN211" s="83"/>
      <c r="BO211" s="83"/>
      <c r="BP211" s="83"/>
      <c r="BQ211" s="83"/>
      <c r="BR211" s="83"/>
      <c r="BS211" s="83"/>
      <c r="BT211" s="83"/>
      <c r="BU211" s="83"/>
    </row>
    <row r="212" spans="15:73"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83"/>
      <c r="BD212" s="83"/>
      <c r="BE212" s="83"/>
      <c r="BF212" s="83"/>
      <c r="BG212" s="83"/>
      <c r="BH212" s="83"/>
      <c r="BI212" s="83"/>
      <c r="BJ212" s="83"/>
      <c r="BK212" s="83"/>
      <c r="BL212" s="83"/>
      <c r="BM212" s="83"/>
      <c r="BN212" s="83"/>
      <c r="BO212" s="83"/>
      <c r="BP212" s="83"/>
      <c r="BQ212" s="83"/>
      <c r="BR212" s="83"/>
      <c r="BS212" s="83"/>
      <c r="BT212" s="83"/>
      <c r="BU212" s="83"/>
    </row>
    <row r="213" spans="15:73"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83"/>
      <c r="BG213" s="83"/>
      <c r="BH213" s="83"/>
      <c r="BI213" s="83"/>
      <c r="BJ213" s="83"/>
      <c r="BK213" s="83"/>
      <c r="BL213" s="83"/>
      <c r="BM213" s="83"/>
      <c r="BN213" s="83"/>
      <c r="BO213" s="83"/>
      <c r="BP213" s="83"/>
      <c r="BQ213" s="83"/>
      <c r="BR213" s="83"/>
      <c r="BS213" s="83"/>
      <c r="BT213" s="83"/>
      <c r="BU213" s="83"/>
    </row>
    <row r="214" spans="15:73"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F214" s="83"/>
      <c r="AG214" s="83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83"/>
      <c r="BD214" s="83"/>
      <c r="BE214" s="83"/>
      <c r="BF214" s="83"/>
      <c r="BG214" s="83"/>
      <c r="BH214" s="83"/>
      <c r="BI214" s="83"/>
      <c r="BJ214" s="83"/>
      <c r="BK214" s="83"/>
      <c r="BL214" s="83"/>
      <c r="BM214" s="83"/>
      <c r="BN214" s="83"/>
      <c r="BO214" s="83"/>
      <c r="BP214" s="83"/>
      <c r="BQ214" s="83"/>
      <c r="BR214" s="83"/>
      <c r="BS214" s="83"/>
      <c r="BT214" s="83"/>
      <c r="BU214" s="83"/>
    </row>
    <row r="215" spans="15:73"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83"/>
      <c r="BD215" s="83"/>
      <c r="BE215" s="83"/>
      <c r="BF215" s="83"/>
      <c r="BG215" s="83"/>
      <c r="BH215" s="83"/>
      <c r="BI215" s="83"/>
      <c r="BJ215" s="83"/>
      <c r="BK215" s="83"/>
      <c r="BL215" s="83"/>
      <c r="BM215" s="83"/>
      <c r="BN215" s="83"/>
      <c r="BO215" s="83"/>
      <c r="BP215" s="83"/>
      <c r="BQ215" s="83"/>
      <c r="BR215" s="83"/>
      <c r="BS215" s="83"/>
      <c r="BT215" s="83"/>
      <c r="BU215" s="83"/>
    </row>
    <row r="216" spans="15:73"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F216" s="83"/>
      <c r="AG216" s="83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83"/>
      <c r="BD216" s="83"/>
      <c r="BE216" s="83"/>
      <c r="BF216" s="83"/>
      <c r="BG216" s="83"/>
      <c r="BH216" s="83"/>
      <c r="BI216" s="83"/>
      <c r="BJ216" s="83"/>
      <c r="BK216" s="83"/>
      <c r="BL216" s="83"/>
      <c r="BM216" s="83"/>
      <c r="BN216" s="83"/>
      <c r="BO216" s="83"/>
      <c r="BP216" s="83"/>
      <c r="BQ216" s="83"/>
      <c r="BR216" s="83"/>
      <c r="BS216" s="83"/>
      <c r="BT216" s="83"/>
      <c r="BU216" s="83"/>
    </row>
    <row r="217" spans="15:73"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83"/>
      <c r="BD217" s="83"/>
      <c r="BE217" s="83"/>
      <c r="BF217" s="83"/>
      <c r="BG217" s="83"/>
      <c r="BH217" s="83"/>
      <c r="BI217" s="83"/>
      <c r="BJ217" s="83"/>
      <c r="BK217" s="83"/>
      <c r="BL217" s="83"/>
      <c r="BM217" s="83"/>
      <c r="BN217" s="83"/>
      <c r="BO217" s="83"/>
      <c r="BP217" s="83"/>
      <c r="BQ217" s="83"/>
      <c r="BR217" s="83"/>
      <c r="BS217" s="83"/>
      <c r="BT217" s="83"/>
      <c r="BU217" s="83"/>
    </row>
    <row r="218" spans="15:73"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G218" s="83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83"/>
      <c r="BD218" s="83"/>
      <c r="BE218" s="83"/>
      <c r="BF218" s="83"/>
      <c r="BG218" s="83"/>
      <c r="BH218" s="83"/>
      <c r="BI218" s="83"/>
      <c r="BJ218" s="83"/>
      <c r="BK218" s="83"/>
      <c r="BL218" s="83"/>
      <c r="BM218" s="83"/>
      <c r="BN218" s="83"/>
      <c r="BO218" s="83"/>
      <c r="BP218" s="83"/>
      <c r="BQ218" s="83"/>
      <c r="BR218" s="83"/>
      <c r="BS218" s="83"/>
      <c r="BT218" s="83"/>
      <c r="BU218" s="83"/>
    </row>
    <row r="219" spans="15:73"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83"/>
      <c r="BD219" s="83"/>
      <c r="BE219" s="83"/>
      <c r="BF219" s="83"/>
      <c r="BG219" s="83"/>
      <c r="BH219" s="83"/>
      <c r="BI219" s="83"/>
      <c r="BJ219" s="83"/>
      <c r="BK219" s="83"/>
      <c r="BL219" s="83"/>
      <c r="BM219" s="83"/>
      <c r="BN219" s="83"/>
      <c r="BO219" s="83"/>
      <c r="BP219" s="83"/>
      <c r="BQ219" s="83"/>
      <c r="BR219" s="83"/>
      <c r="BS219" s="83"/>
      <c r="BT219" s="83"/>
      <c r="BU219" s="83"/>
    </row>
    <row r="220" spans="15:73"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/>
      <c r="AY220" s="83"/>
      <c r="AZ220" s="83"/>
      <c r="BA220" s="83"/>
      <c r="BB220" s="83"/>
      <c r="BC220" s="83"/>
      <c r="BD220" s="83"/>
      <c r="BE220" s="83"/>
      <c r="BF220" s="83"/>
      <c r="BG220" s="83"/>
      <c r="BH220" s="83"/>
      <c r="BI220" s="83"/>
      <c r="BJ220" s="83"/>
      <c r="BK220" s="83"/>
      <c r="BL220" s="83"/>
      <c r="BM220" s="83"/>
      <c r="BN220" s="83"/>
      <c r="BO220" s="83"/>
      <c r="BP220" s="83"/>
      <c r="BQ220" s="83"/>
      <c r="BR220" s="83"/>
      <c r="BS220" s="83"/>
      <c r="BT220" s="83"/>
      <c r="BU220" s="83"/>
    </row>
    <row r="221" spans="15:73"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F221" s="83"/>
      <c r="AG221" s="83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  <c r="AV221" s="83"/>
      <c r="AW221" s="83"/>
      <c r="AX221" s="83"/>
      <c r="AY221" s="83"/>
      <c r="AZ221" s="83"/>
      <c r="BA221" s="83"/>
      <c r="BB221" s="83"/>
      <c r="BC221" s="83"/>
      <c r="BD221" s="83"/>
      <c r="BE221" s="83"/>
      <c r="BF221" s="83"/>
      <c r="BG221" s="83"/>
      <c r="BH221" s="83"/>
      <c r="BI221" s="83"/>
      <c r="BJ221" s="83"/>
      <c r="BK221" s="83"/>
      <c r="BL221" s="83"/>
      <c r="BM221" s="83"/>
      <c r="BN221" s="83"/>
      <c r="BO221" s="83"/>
      <c r="BP221" s="83"/>
      <c r="BQ221" s="83"/>
      <c r="BR221" s="83"/>
      <c r="BS221" s="83"/>
      <c r="BT221" s="83"/>
      <c r="BU221" s="83"/>
    </row>
    <row r="222" spans="15:73"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83"/>
      <c r="AG222" s="83"/>
      <c r="AH222" s="83"/>
      <c r="AI222" s="83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  <c r="AV222" s="83"/>
      <c r="AW222" s="83"/>
      <c r="AX222" s="83"/>
      <c r="AY222" s="83"/>
      <c r="AZ222" s="83"/>
      <c r="BA222" s="83"/>
      <c r="BB222" s="83"/>
      <c r="BC222" s="83"/>
      <c r="BD222" s="83"/>
      <c r="BE222" s="83"/>
      <c r="BF222" s="83"/>
      <c r="BG222" s="83"/>
      <c r="BH222" s="83"/>
      <c r="BI222" s="83"/>
      <c r="BJ222" s="83"/>
      <c r="BK222" s="83"/>
      <c r="BL222" s="83"/>
      <c r="BM222" s="83"/>
      <c r="BN222" s="83"/>
      <c r="BO222" s="83"/>
      <c r="BP222" s="83"/>
      <c r="BQ222" s="83"/>
      <c r="BR222" s="83"/>
      <c r="BS222" s="83"/>
      <c r="BT222" s="83"/>
      <c r="BU222" s="83"/>
    </row>
    <row r="223" spans="15:73"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G223" s="83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  <c r="AV223" s="83"/>
      <c r="AW223" s="83"/>
      <c r="AX223" s="83"/>
      <c r="AY223" s="83"/>
      <c r="AZ223" s="83"/>
      <c r="BA223" s="83"/>
      <c r="BB223" s="83"/>
      <c r="BC223" s="83"/>
      <c r="BD223" s="83"/>
      <c r="BE223" s="83"/>
      <c r="BF223" s="83"/>
      <c r="BG223" s="83"/>
      <c r="BH223" s="83"/>
      <c r="BI223" s="83"/>
      <c r="BJ223" s="83"/>
      <c r="BK223" s="83"/>
      <c r="BL223" s="83"/>
      <c r="BM223" s="83"/>
      <c r="BN223" s="83"/>
      <c r="BO223" s="83"/>
      <c r="BP223" s="83"/>
      <c r="BQ223" s="83"/>
      <c r="BR223" s="83"/>
      <c r="BS223" s="83"/>
      <c r="BT223" s="83"/>
      <c r="BU223" s="83"/>
    </row>
    <row r="224" spans="15:73"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83"/>
      <c r="BG224" s="83"/>
      <c r="BH224" s="83"/>
      <c r="BI224" s="83"/>
      <c r="BJ224" s="83"/>
      <c r="BK224" s="83"/>
      <c r="BL224" s="83"/>
      <c r="BM224" s="83"/>
      <c r="BN224" s="83"/>
      <c r="BO224" s="83"/>
      <c r="BP224" s="83"/>
      <c r="BQ224" s="83"/>
      <c r="BR224" s="83"/>
      <c r="BS224" s="83"/>
      <c r="BT224" s="83"/>
      <c r="BU224" s="83"/>
    </row>
    <row r="225" spans="15:73"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83"/>
      <c r="BG225" s="83"/>
      <c r="BH225" s="83"/>
      <c r="BI225" s="83"/>
      <c r="BJ225" s="83"/>
      <c r="BK225" s="83"/>
      <c r="BL225" s="83"/>
      <c r="BM225" s="83"/>
      <c r="BN225" s="83"/>
      <c r="BO225" s="83"/>
      <c r="BP225" s="83"/>
      <c r="BQ225" s="83"/>
      <c r="BR225" s="83"/>
      <c r="BS225" s="83"/>
      <c r="BT225" s="83"/>
      <c r="BU225" s="83"/>
    </row>
    <row r="226" spans="15:73"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  <c r="BA226" s="83"/>
      <c r="BB226" s="83"/>
      <c r="BC226" s="83"/>
      <c r="BD226" s="83"/>
      <c r="BE226" s="83"/>
      <c r="BF226" s="83"/>
      <c r="BG226" s="83"/>
      <c r="BH226" s="83"/>
      <c r="BI226" s="83"/>
      <c r="BJ226" s="83"/>
      <c r="BK226" s="83"/>
      <c r="BL226" s="83"/>
      <c r="BM226" s="83"/>
      <c r="BN226" s="83"/>
      <c r="BO226" s="83"/>
      <c r="BP226" s="83"/>
      <c r="BQ226" s="83"/>
      <c r="BR226" s="83"/>
      <c r="BS226" s="83"/>
      <c r="BT226" s="83"/>
      <c r="BU226" s="83"/>
    </row>
    <row r="227" spans="15:73"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G227" s="83"/>
      <c r="AH227" s="83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  <c r="AV227" s="83"/>
      <c r="AW227" s="83"/>
      <c r="AX227" s="83"/>
      <c r="AY227" s="83"/>
      <c r="AZ227" s="83"/>
      <c r="BA227" s="83"/>
      <c r="BB227" s="83"/>
      <c r="BC227" s="83"/>
      <c r="BD227" s="83"/>
      <c r="BE227" s="83"/>
      <c r="BF227" s="83"/>
      <c r="BG227" s="83"/>
      <c r="BH227" s="83"/>
      <c r="BI227" s="83"/>
      <c r="BJ227" s="83"/>
      <c r="BK227" s="83"/>
      <c r="BL227" s="83"/>
      <c r="BM227" s="83"/>
      <c r="BN227" s="83"/>
      <c r="BO227" s="83"/>
      <c r="BP227" s="83"/>
      <c r="BQ227" s="83"/>
      <c r="BR227" s="83"/>
      <c r="BS227" s="83"/>
      <c r="BT227" s="83"/>
      <c r="BU227" s="83"/>
    </row>
    <row r="228" spans="15:73"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F228" s="83"/>
      <c r="AG228" s="83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  <c r="AV228" s="83"/>
      <c r="AW228" s="83"/>
      <c r="AX228" s="83"/>
      <c r="AY228" s="83"/>
      <c r="AZ228" s="83"/>
      <c r="BA228" s="83"/>
      <c r="BB228" s="83"/>
      <c r="BC228" s="83"/>
      <c r="BD228" s="83"/>
      <c r="BE228" s="83"/>
      <c r="BF228" s="83"/>
      <c r="BG228" s="83"/>
      <c r="BH228" s="83"/>
      <c r="BI228" s="83"/>
      <c r="BJ228" s="83"/>
      <c r="BK228" s="83"/>
      <c r="BL228" s="83"/>
      <c r="BM228" s="83"/>
      <c r="BN228" s="83"/>
      <c r="BO228" s="83"/>
      <c r="BP228" s="83"/>
      <c r="BQ228" s="83"/>
      <c r="BR228" s="83"/>
      <c r="BS228" s="83"/>
      <c r="BT228" s="83"/>
      <c r="BU228" s="83"/>
    </row>
    <row r="229" spans="15:73"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G229" s="83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  <c r="AV229" s="83"/>
      <c r="AW229" s="83"/>
      <c r="AX229" s="83"/>
      <c r="AY229" s="83"/>
      <c r="AZ229" s="83"/>
      <c r="BA229" s="83"/>
      <c r="BB229" s="83"/>
      <c r="BC229" s="83"/>
      <c r="BD229" s="83"/>
      <c r="BE229" s="83"/>
      <c r="BF229" s="83"/>
      <c r="BG229" s="83"/>
      <c r="BH229" s="83"/>
      <c r="BI229" s="83"/>
      <c r="BJ229" s="83"/>
      <c r="BK229" s="83"/>
      <c r="BL229" s="83"/>
      <c r="BM229" s="83"/>
      <c r="BN229" s="83"/>
      <c r="BO229" s="83"/>
      <c r="BP229" s="83"/>
      <c r="BQ229" s="83"/>
      <c r="BR229" s="83"/>
      <c r="BS229" s="83"/>
      <c r="BT229" s="83"/>
      <c r="BU229" s="83"/>
    </row>
    <row r="230" spans="15:73"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  <c r="AV230" s="83"/>
      <c r="AW230" s="83"/>
      <c r="AX230" s="83"/>
      <c r="AY230" s="83"/>
      <c r="AZ230" s="83"/>
      <c r="BA230" s="83"/>
      <c r="BB230" s="83"/>
      <c r="BC230" s="83"/>
      <c r="BD230" s="83"/>
      <c r="BE230" s="83"/>
      <c r="BF230" s="83"/>
      <c r="BG230" s="83"/>
      <c r="BH230" s="83"/>
      <c r="BI230" s="83"/>
      <c r="BJ230" s="83"/>
      <c r="BK230" s="83"/>
      <c r="BL230" s="83"/>
      <c r="BM230" s="83"/>
      <c r="BN230" s="83"/>
      <c r="BO230" s="83"/>
      <c r="BP230" s="83"/>
      <c r="BQ230" s="83"/>
      <c r="BR230" s="83"/>
      <c r="BS230" s="83"/>
      <c r="BT230" s="83"/>
      <c r="BU230" s="83"/>
    </row>
    <row r="231" spans="15:73"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  <c r="AV231" s="83"/>
      <c r="AW231" s="83"/>
      <c r="AX231" s="83"/>
      <c r="AY231" s="83"/>
      <c r="AZ231" s="83"/>
      <c r="BA231" s="83"/>
      <c r="BB231" s="83"/>
      <c r="BC231" s="83"/>
      <c r="BD231" s="83"/>
      <c r="BE231" s="83"/>
      <c r="BF231" s="83"/>
      <c r="BG231" s="83"/>
      <c r="BH231" s="83"/>
      <c r="BI231" s="83"/>
      <c r="BJ231" s="83"/>
      <c r="BK231" s="83"/>
      <c r="BL231" s="83"/>
      <c r="BM231" s="83"/>
      <c r="BN231" s="83"/>
      <c r="BO231" s="83"/>
      <c r="BP231" s="83"/>
      <c r="BQ231" s="83"/>
      <c r="BR231" s="83"/>
      <c r="BS231" s="83"/>
      <c r="BT231" s="83"/>
      <c r="BU231" s="83"/>
    </row>
    <row r="232" spans="15:73"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  <c r="AV232" s="83"/>
      <c r="AW232" s="83"/>
      <c r="AX232" s="83"/>
      <c r="AY232" s="83"/>
      <c r="AZ232" s="83"/>
      <c r="BA232" s="83"/>
      <c r="BB232" s="83"/>
      <c r="BC232" s="83"/>
      <c r="BD232" s="83"/>
      <c r="BE232" s="83"/>
      <c r="BF232" s="83"/>
      <c r="BG232" s="83"/>
      <c r="BH232" s="83"/>
      <c r="BI232" s="83"/>
      <c r="BJ232" s="83"/>
      <c r="BK232" s="83"/>
      <c r="BL232" s="83"/>
      <c r="BM232" s="83"/>
      <c r="BN232" s="83"/>
      <c r="BO232" s="83"/>
      <c r="BP232" s="83"/>
      <c r="BQ232" s="83"/>
      <c r="BR232" s="83"/>
      <c r="BS232" s="83"/>
      <c r="BT232" s="83"/>
      <c r="BU232" s="83"/>
    </row>
    <row r="233" spans="15:73"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G233" s="83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  <c r="AV233" s="83"/>
      <c r="AW233" s="83"/>
      <c r="AX233" s="83"/>
      <c r="AY233" s="83"/>
      <c r="AZ233" s="83"/>
      <c r="BA233" s="83"/>
      <c r="BB233" s="83"/>
      <c r="BC233" s="83"/>
      <c r="BD233" s="83"/>
      <c r="BE233" s="83"/>
      <c r="BF233" s="83"/>
      <c r="BG233" s="83"/>
      <c r="BH233" s="83"/>
      <c r="BI233" s="83"/>
      <c r="BJ233" s="83"/>
      <c r="BK233" s="83"/>
      <c r="BL233" s="83"/>
      <c r="BM233" s="83"/>
      <c r="BN233" s="83"/>
      <c r="BO233" s="83"/>
      <c r="BP233" s="83"/>
      <c r="BQ233" s="83"/>
      <c r="BR233" s="83"/>
      <c r="BS233" s="83"/>
      <c r="BT233" s="83"/>
      <c r="BU233" s="83"/>
    </row>
    <row r="234" spans="15:73"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  <c r="BA234" s="83"/>
      <c r="BB234" s="83"/>
      <c r="BC234" s="83"/>
      <c r="BD234" s="83"/>
      <c r="BE234" s="83"/>
      <c r="BF234" s="83"/>
      <c r="BG234" s="83"/>
      <c r="BH234" s="83"/>
      <c r="BI234" s="83"/>
      <c r="BJ234" s="83"/>
      <c r="BK234" s="83"/>
      <c r="BL234" s="83"/>
      <c r="BM234" s="83"/>
      <c r="BN234" s="83"/>
      <c r="BO234" s="83"/>
      <c r="BP234" s="83"/>
      <c r="BQ234" s="83"/>
      <c r="BR234" s="83"/>
      <c r="BS234" s="83"/>
      <c r="BT234" s="83"/>
      <c r="BU234" s="83"/>
    </row>
    <row r="235" spans="15:73"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H235" s="83"/>
      <c r="AI235" s="83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  <c r="AV235" s="83"/>
      <c r="AW235" s="83"/>
      <c r="AX235" s="83"/>
      <c r="AY235" s="83"/>
      <c r="AZ235" s="83"/>
      <c r="BA235" s="83"/>
      <c r="BB235" s="83"/>
      <c r="BC235" s="83"/>
      <c r="BD235" s="83"/>
      <c r="BE235" s="83"/>
      <c r="BF235" s="83"/>
      <c r="BG235" s="83"/>
      <c r="BH235" s="83"/>
      <c r="BI235" s="83"/>
      <c r="BJ235" s="83"/>
      <c r="BK235" s="83"/>
      <c r="BL235" s="83"/>
      <c r="BM235" s="83"/>
      <c r="BN235" s="83"/>
      <c r="BO235" s="83"/>
      <c r="BP235" s="83"/>
      <c r="BQ235" s="83"/>
      <c r="BR235" s="83"/>
      <c r="BS235" s="83"/>
      <c r="BT235" s="83"/>
      <c r="BU235" s="83"/>
    </row>
    <row r="236" spans="15:73"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G236" s="83"/>
      <c r="AH236" s="83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  <c r="AV236" s="83"/>
      <c r="AW236" s="83"/>
      <c r="AX236" s="83"/>
      <c r="AY236" s="83"/>
      <c r="AZ236" s="83"/>
      <c r="BA236" s="83"/>
      <c r="BB236" s="83"/>
      <c r="BC236" s="83"/>
      <c r="BD236" s="83"/>
      <c r="BE236" s="83"/>
      <c r="BF236" s="83"/>
      <c r="BG236" s="83"/>
      <c r="BH236" s="83"/>
      <c r="BI236" s="83"/>
      <c r="BJ236" s="83"/>
      <c r="BK236" s="83"/>
      <c r="BL236" s="83"/>
      <c r="BM236" s="83"/>
      <c r="BN236" s="83"/>
      <c r="BO236" s="83"/>
      <c r="BP236" s="83"/>
      <c r="BQ236" s="83"/>
      <c r="BR236" s="83"/>
      <c r="BS236" s="83"/>
      <c r="BT236" s="83"/>
      <c r="BU236" s="83"/>
    </row>
    <row r="237" spans="15:73"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G237" s="83"/>
      <c r="AH237" s="83"/>
      <c r="AI237" s="83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  <c r="AV237" s="83"/>
      <c r="AW237" s="83"/>
      <c r="AX237" s="83"/>
      <c r="AY237" s="83"/>
      <c r="AZ237" s="83"/>
      <c r="BA237" s="83"/>
      <c r="BB237" s="83"/>
      <c r="BC237" s="83"/>
      <c r="BD237" s="83"/>
      <c r="BE237" s="83"/>
      <c r="BF237" s="83"/>
      <c r="BG237" s="83"/>
      <c r="BH237" s="83"/>
      <c r="BI237" s="83"/>
      <c r="BJ237" s="83"/>
      <c r="BK237" s="83"/>
      <c r="BL237" s="83"/>
      <c r="BM237" s="83"/>
      <c r="BN237" s="83"/>
      <c r="BO237" s="83"/>
      <c r="BP237" s="83"/>
      <c r="BQ237" s="83"/>
      <c r="BR237" s="83"/>
      <c r="BS237" s="83"/>
      <c r="BT237" s="83"/>
      <c r="BU237" s="83"/>
    </row>
    <row r="238" spans="15:73"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  <c r="AV238" s="83"/>
      <c r="AW238" s="83"/>
      <c r="AX238" s="83"/>
      <c r="AY238" s="83"/>
      <c r="AZ238" s="83"/>
      <c r="BA238" s="83"/>
      <c r="BB238" s="83"/>
      <c r="BC238" s="83"/>
      <c r="BD238" s="83"/>
      <c r="BE238" s="83"/>
      <c r="BF238" s="83"/>
      <c r="BG238" s="83"/>
      <c r="BH238" s="83"/>
      <c r="BI238" s="83"/>
      <c r="BJ238" s="83"/>
      <c r="BK238" s="83"/>
      <c r="BL238" s="83"/>
      <c r="BM238" s="83"/>
      <c r="BN238" s="83"/>
      <c r="BO238" s="83"/>
      <c r="BP238" s="83"/>
      <c r="BQ238" s="83"/>
      <c r="BR238" s="83"/>
      <c r="BS238" s="83"/>
      <c r="BT238" s="83"/>
      <c r="BU238" s="83"/>
    </row>
    <row r="239" spans="15:73"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G239" s="83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83"/>
      <c r="AY239" s="83"/>
      <c r="AZ239" s="83"/>
      <c r="BA239" s="83"/>
      <c r="BB239" s="83"/>
      <c r="BC239" s="83"/>
      <c r="BD239" s="83"/>
      <c r="BE239" s="83"/>
      <c r="BF239" s="83"/>
      <c r="BG239" s="83"/>
      <c r="BH239" s="83"/>
      <c r="BI239" s="83"/>
      <c r="BJ239" s="83"/>
      <c r="BK239" s="83"/>
      <c r="BL239" s="83"/>
      <c r="BM239" s="83"/>
      <c r="BN239" s="83"/>
      <c r="BO239" s="83"/>
      <c r="BP239" s="83"/>
      <c r="BQ239" s="83"/>
      <c r="BR239" s="83"/>
      <c r="BS239" s="83"/>
      <c r="BT239" s="83"/>
      <c r="BU239" s="83"/>
    </row>
    <row r="240" spans="15:73"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  <c r="BA240" s="83"/>
      <c r="BB240" s="83"/>
      <c r="BC240" s="83"/>
      <c r="BD240" s="83"/>
      <c r="BE240" s="83"/>
      <c r="BF240" s="83"/>
      <c r="BG240" s="83"/>
      <c r="BH240" s="83"/>
      <c r="BI240" s="83"/>
      <c r="BJ240" s="83"/>
      <c r="BK240" s="83"/>
      <c r="BL240" s="83"/>
      <c r="BM240" s="83"/>
      <c r="BN240" s="83"/>
      <c r="BO240" s="83"/>
      <c r="BP240" s="83"/>
      <c r="BQ240" s="83"/>
      <c r="BR240" s="83"/>
      <c r="BS240" s="83"/>
      <c r="BT240" s="83"/>
      <c r="BU240" s="83"/>
    </row>
    <row r="241" spans="15:73"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83"/>
      <c r="AI241" s="83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  <c r="AV241" s="83"/>
      <c r="AW241" s="83"/>
      <c r="AX241" s="83"/>
      <c r="AY241" s="83"/>
      <c r="AZ241" s="83"/>
      <c r="BA241" s="83"/>
      <c r="BB241" s="83"/>
      <c r="BC241" s="83"/>
      <c r="BD241" s="83"/>
      <c r="BE241" s="83"/>
      <c r="BF241" s="83"/>
      <c r="BG241" s="83"/>
      <c r="BH241" s="83"/>
      <c r="BI241" s="83"/>
      <c r="BJ241" s="83"/>
      <c r="BK241" s="83"/>
      <c r="BL241" s="83"/>
      <c r="BM241" s="83"/>
      <c r="BN241" s="83"/>
      <c r="BO241" s="83"/>
      <c r="BP241" s="83"/>
      <c r="BQ241" s="83"/>
      <c r="BR241" s="83"/>
      <c r="BS241" s="83"/>
      <c r="BT241" s="83"/>
      <c r="BU241" s="83"/>
    </row>
    <row r="242" spans="15:73"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  <c r="AV242" s="83"/>
      <c r="AW242" s="83"/>
      <c r="AX242" s="83"/>
      <c r="AY242" s="83"/>
      <c r="AZ242" s="83"/>
      <c r="BA242" s="83"/>
      <c r="BB242" s="83"/>
      <c r="BC242" s="83"/>
      <c r="BD242" s="83"/>
      <c r="BE242" s="83"/>
      <c r="BF242" s="83"/>
      <c r="BG242" s="83"/>
      <c r="BH242" s="83"/>
      <c r="BI242" s="83"/>
      <c r="BJ242" s="83"/>
      <c r="BK242" s="83"/>
      <c r="BL242" s="83"/>
      <c r="BM242" s="83"/>
      <c r="BN242" s="83"/>
      <c r="BO242" s="83"/>
      <c r="BP242" s="83"/>
      <c r="BQ242" s="83"/>
      <c r="BR242" s="83"/>
      <c r="BS242" s="83"/>
      <c r="BT242" s="83"/>
      <c r="BU242" s="83"/>
    </row>
    <row r="243" spans="15:73"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 s="83"/>
      <c r="AZ243" s="83"/>
      <c r="BA243" s="83"/>
      <c r="BB243" s="83"/>
      <c r="BC243" s="83"/>
      <c r="BD243" s="83"/>
      <c r="BE243" s="83"/>
      <c r="BF243" s="83"/>
      <c r="BG243" s="83"/>
      <c r="BH243" s="83"/>
      <c r="BI243" s="83"/>
      <c r="BJ243" s="83"/>
      <c r="BK243" s="83"/>
      <c r="BL243" s="83"/>
      <c r="BM243" s="83"/>
      <c r="BN243" s="83"/>
      <c r="BO243" s="83"/>
      <c r="BP243" s="83"/>
      <c r="BQ243" s="83"/>
      <c r="BR243" s="83"/>
      <c r="BS243" s="83"/>
      <c r="BT243" s="83"/>
      <c r="BU243" s="83"/>
    </row>
    <row r="244" spans="15:73"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3"/>
      <c r="AZ244" s="83"/>
      <c r="BA244" s="83"/>
      <c r="BB244" s="83"/>
      <c r="BC244" s="83"/>
      <c r="BD244" s="83"/>
      <c r="BE244" s="83"/>
      <c r="BF244" s="83"/>
      <c r="BG244" s="83"/>
      <c r="BH244" s="83"/>
      <c r="BI244" s="83"/>
      <c r="BJ244" s="83"/>
      <c r="BK244" s="83"/>
      <c r="BL244" s="83"/>
      <c r="BM244" s="83"/>
      <c r="BN244" s="83"/>
      <c r="BO244" s="83"/>
      <c r="BP244" s="83"/>
      <c r="BQ244" s="83"/>
      <c r="BR244" s="83"/>
      <c r="BS244" s="83"/>
      <c r="BT244" s="83"/>
      <c r="BU244" s="83"/>
    </row>
    <row r="245" spans="15:73"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H245" s="83"/>
      <c r="AI245" s="83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  <c r="AV245" s="83"/>
      <c r="AW245" s="83"/>
      <c r="AX245" s="83"/>
      <c r="AY245" s="83"/>
      <c r="AZ245" s="83"/>
      <c r="BA245" s="83"/>
      <c r="BB245" s="83"/>
      <c r="BC245" s="83"/>
      <c r="BD245" s="83"/>
      <c r="BE245" s="83"/>
      <c r="BF245" s="83"/>
      <c r="BG245" s="83"/>
      <c r="BH245" s="83"/>
      <c r="BI245" s="83"/>
      <c r="BJ245" s="83"/>
      <c r="BK245" s="83"/>
      <c r="BL245" s="83"/>
      <c r="BM245" s="83"/>
      <c r="BN245" s="83"/>
      <c r="BO245" s="83"/>
      <c r="BP245" s="83"/>
      <c r="BQ245" s="83"/>
      <c r="BR245" s="83"/>
      <c r="BS245" s="83"/>
      <c r="BT245" s="83"/>
      <c r="BU245" s="83"/>
    </row>
    <row r="246" spans="15:73"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  <c r="BA246" s="83"/>
      <c r="BB246" s="83"/>
      <c r="BC246" s="83"/>
      <c r="BD246" s="83"/>
      <c r="BE246" s="83"/>
      <c r="BF246" s="83"/>
      <c r="BG246" s="83"/>
      <c r="BH246" s="83"/>
      <c r="BI246" s="83"/>
      <c r="BJ246" s="83"/>
      <c r="BK246" s="83"/>
      <c r="BL246" s="83"/>
      <c r="BM246" s="83"/>
      <c r="BN246" s="83"/>
      <c r="BO246" s="83"/>
      <c r="BP246" s="83"/>
      <c r="BQ246" s="83"/>
      <c r="BR246" s="83"/>
      <c r="BS246" s="83"/>
      <c r="BT246" s="83"/>
      <c r="BU246" s="83"/>
    </row>
    <row r="247" spans="15:73"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H247" s="83"/>
      <c r="AI247" s="83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  <c r="AV247" s="83"/>
      <c r="AW247" s="83"/>
      <c r="AX247" s="83"/>
      <c r="AY247" s="83"/>
      <c r="AZ247" s="83"/>
      <c r="BA247" s="83"/>
      <c r="BB247" s="83"/>
      <c r="BC247" s="83"/>
      <c r="BD247" s="83"/>
      <c r="BE247" s="83"/>
      <c r="BF247" s="83"/>
      <c r="BG247" s="83"/>
      <c r="BH247" s="83"/>
      <c r="BI247" s="83"/>
      <c r="BJ247" s="83"/>
      <c r="BK247" s="83"/>
      <c r="BL247" s="83"/>
      <c r="BM247" s="83"/>
      <c r="BN247" s="83"/>
      <c r="BO247" s="83"/>
      <c r="BP247" s="83"/>
      <c r="BQ247" s="83"/>
      <c r="BR247" s="83"/>
      <c r="BS247" s="83"/>
      <c r="BT247" s="83"/>
      <c r="BU247" s="83"/>
    </row>
    <row r="248" spans="15:73"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H248" s="83"/>
      <c r="AI248" s="83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  <c r="AV248" s="83"/>
      <c r="AW248" s="83"/>
      <c r="AX248" s="83"/>
      <c r="AY248" s="83"/>
      <c r="AZ248" s="83"/>
      <c r="BA248" s="83"/>
      <c r="BB248" s="83"/>
      <c r="BC248" s="83"/>
      <c r="BD248" s="83"/>
      <c r="BE248" s="83"/>
      <c r="BF248" s="83"/>
      <c r="BG248" s="83"/>
      <c r="BH248" s="83"/>
      <c r="BI248" s="83"/>
      <c r="BJ248" s="83"/>
      <c r="BK248" s="83"/>
      <c r="BL248" s="83"/>
      <c r="BM248" s="83"/>
      <c r="BN248" s="83"/>
      <c r="BO248" s="83"/>
      <c r="BP248" s="83"/>
      <c r="BQ248" s="83"/>
      <c r="BR248" s="83"/>
      <c r="BS248" s="83"/>
      <c r="BT248" s="83"/>
      <c r="BU248" s="83"/>
    </row>
    <row r="249" spans="15:73"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G249" s="83"/>
      <c r="AH249" s="83"/>
      <c r="AI249" s="83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  <c r="AV249" s="83"/>
      <c r="AW249" s="83"/>
      <c r="AX249" s="83"/>
      <c r="AY249" s="83"/>
      <c r="AZ249" s="83"/>
      <c r="BA249" s="83"/>
      <c r="BB249" s="83"/>
      <c r="BC249" s="83"/>
      <c r="BD249" s="83"/>
      <c r="BE249" s="83"/>
      <c r="BF249" s="83"/>
      <c r="BG249" s="83"/>
      <c r="BH249" s="83"/>
      <c r="BI249" s="83"/>
      <c r="BJ249" s="83"/>
      <c r="BK249" s="83"/>
      <c r="BL249" s="83"/>
      <c r="BM249" s="83"/>
      <c r="BN249" s="83"/>
      <c r="BO249" s="83"/>
      <c r="BP249" s="83"/>
      <c r="BQ249" s="83"/>
      <c r="BR249" s="83"/>
      <c r="BS249" s="83"/>
      <c r="BT249" s="83"/>
      <c r="BU249" s="83"/>
    </row>
    <row r="250" spans="15:73"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G250" s="83"/>
      <c r="AH250" s="83"/>
      <c r="AI250" s="83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  <c r="AV250" s="83"/>
      <c r="AW250" s="83"/>
      <c r="AX250" s="83"/>
      <c r="AY250" s="83"/>
      <c r="AZ250" s="83"/>
      <c r="BA250" s="83"/>
      <c r="BB250" s="83"/>
      <c r="BC250" s="83"/>
      <c r="BD250" s="83"/>
      <c r="BE250" s="83"/>
      <c r="BF250" s="83"/>
      <c r="BG250" s="83"/>
      <c r="BH250" s="83"/>
      <c r="BI250" s="83"/>
      <c r="BJ250" s="83"/>
      <c r="BK250" s="83"/>
      <c r="BL250" s="83"/>
      <c r="BM250" s="83"/>
      <c r="BN250" s="83"/>
      <c r="BO250" s="83"/>
      <c r="BP250" s="83"/>
      <c r="BQ250" s="83"/>
      <c r="BR250" s="83"/>
      <c r="BS250" s="83"/>
      <c r="BT250" s="83"/>
      <c r="BU250" s="83"/>
    </row>
    <row r="251" spans="15:73"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3"/>
      <c r="AZ251" s="83"/>
      <c r="BA251" s="83"/>
      <c r="BB251" s="83"/>
      <c r="BC251" s="83"/>
      <c r="BD251" s="83"/>
      <c r="BE251" s="83"/>
      <c r="BF251" s="83"/>
      <c r="BG251" s="83"/>
      <c r="BH251" s="83"/>
      <c r="BI251" s="83"/>
      <c r="BJ251" s="83"/>
      <c r="BK251" s="83"/>
      <c r="BL251" s="83"/>
      <c r="BM251" s="83"/>
      <c r="BN251" s="83"/>
      <c r="BO251" s="83"/>
      <c r="BP251" s="83"/>
      <c r="BQ251" s="83"/>
      <c r="BR251" s="83"/>
      <c r="BS251" s="83"/>
      <c r="BT251" s="83"/>
      <c r="BU251" s="83"/>
    </row>
    <row r="252" spans="15:73"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  <c r="BB252" s="83"/>
      <c r="BC252" s="83"/>
      <c r="BD252" s="83"/>
      <c r="BE252" s="83"/>
      <c r="BF252" s="83"/>
      <c r="BG252" s="83"/>
      <c r="BH252" s="83"/>
      <c r="BI252" s="83"/>
      <c r="BJ252" s="83"/>
      <c r="BK252" s="83"/>
      <c r="BL252" s="83"/>
      <c r="BM252" s="83"/>
      <c r="BN252" s="83"/>
      <c r="BO252" s="83"/>
      <c r="BP252" s="83"/>
      <c r="BQ252" s="83"/>
      <c r="BR252" s="83"/>
      <c r="BS252" s="83"/>
      <c r="BT252" s="83"/>
      <c r="BU252" s="83"/>
    </row>
    <row r="253" spans="15:73"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  <c r="BI253" s="83"/>
      <c r="BJ253" s="83"/>
      <c r="BK253" s="83"/>
      <c r="BL253" s="83"/>
      <c r="BM253" s="83"/>
      <c r="BN253" s="83"/>
      <c r="BO253" s="83"/>
      <c r="BP253" s="83"/>
      <c r="BQ253" s="83"/>
      <c r="BR253" s="83"/>
      <c r="BS253" s="83"/>
      <c r="BT253" s="83"/>
      <c r="BU253" s="83"/>
    </row>
    <row r="254" spans="15:73"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  <c r="AH254" s="83"/>
      <c r="AI254" s="83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  <c r="AV254" s="83"/>
      <c r="AW254" s="83"/>
      <c r="AX254" s="83"/>
      <c r="AY254" s="83"/>
      <c r="AZ254" s="83"/>
      <c r="BA254" s="83"/>
      <c r="BB254" s="83"/>
      <c r="BC254" s="83"/>
      <c r="BD254" s="83"/>
      <c r="BE254" s="83"/>
      <c r="BF254" s="83"/>
      <c r="BG254" s="83"/>
      <c r="BH254" s="83"/>
      <c r="BI254" s="83"/>
      <c r="BJ254" s="83"/>
      <c r="BK254" s="83"/>
      <c r="BL254" s="83"/>
      <c r="BM254" s="83"/>
      <c r="BN254" s="83"/>
      <c r="BO254" s="83"/>
      <c r="BP254" s="83"/>
      <c r="BQ254" s="83"/>
      <c r="BR254" s="83"/>
      <c r="BS254" s="83"/>
      <c r="BT254" s="83"/>
      <c r="BU254" s="83"/>
    </row>
    <row r="255" spans="15:73"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  <c r="AH255" s="83"/>
      <c r="AI255" s="83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  <c r="AV255" s="83"/>
      <c r="AW255" s="83"/>
      <c r="AX255" s="83"/>
      <c r="AY255" s="83"/>
      <c r="AZ255" s="83"/>
      <c r="BA255" s="83"/>
      <c r="BB255" s="83"/>
      <c r="BC255" s="83"/>
      <c r="BD255" s="83"/>
      <c r="BE255" s="83"/>
      <c r="BF255" s="83"/>
      <c r="BG255" s="83"/>
      <c r="BH255" s="83"/>
      <c r="BI255" s="83"/>
      <c r="BJ255" s="83"/>
      <c r="BK255" s="83"/>
      <c r="BL255" s="83"/>
      <c r="BM255" s="83"/>
      <c r="BN255" s="83"/>
      <c r="BO255" s="83"/>
      <c r="BP255" s="83"/>
      <c r="BQ255" s="83"/>
      <c r="BR255" s="83"/>
      <c r="BS255" s="83"/>
      <c r="BT255" s="83"/>
      <c r="BU255" s="83"/>
    </row>
    <row r="256" spans="15:73"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  <c r="AH256" s="83"/>
      <c r="AI256" s="83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  <c r="AV256" s="83"/>
      <c r="AW256" s="83"/>
      <c r="AX256" s="83"/>
      <c r="AY256" s="83"/>
      <c r="AZ256" s="83"/>
      <c r="BA256" s="83"/>
      <c r="BB256" s="83"/>
      <c r="BC256" s="83"/>
      <c r="BD256" s="83"/>
      <c r="BE256" s="83"/>
      <c r="BF256" s="83"/>
      <c r="BG256" s="83"/>
      <c r="BH256" s="83"/>
      <c r="BI256" s="83"/>
      <c r="BJ256" s="83"/>
      <c r="BK256" s="83"/>
      <c r="BL256" s="83"/>
      <c r="BM256" s="83"/>
      <c r="BN256" s="83"/>
      <c r="BO256" s="83"/>
      <c r="BP256" s="83"/>
      <c r="BQ256" s="83"/>
      <c r="BR256" s="83"/>
      <c r="BS256" s="83"/>
      <c r="BT256" s="83"/>
      <c r="BU256" s="83"/>
    </row>
    <row r="257" spans="15:73"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  <c r="BA257" s="83"/>
      <c r="BB257" s="83"/>
      <c r="BC257" s="83"/>
      <c r="BD257" s="83"/>
      <c r="BE257" s="83"/>
      <c r="BF257" s="83"/>
      <c r="BG257" s="83"/>
      <c r="BH257" s="83"/>
      <c r="BI257" s="83"/>
      <c r="BJ257" s="83"/>
      <c r="BK257" s="83"/>
      <c r="BL257" s="83"/>
      <c r="BM257" s="83"/>
      <c r="BN257" s="83"/>
      <c r="BO257" s="83"/>
      <c r="BP257" s="83"/>
      <c r="BQ257" s="83"/>
      <c r="BR257" s="83"/>
      <c r="BS257" s="83"/>
      <c r="BT257" s="83"/>
      <c r="BU257" s="83"/>
    </row>
    <row r="258" spans="15:73"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  <c r="AH258" s="83"/>
      <c r="AI258" s="83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  <c r="AV258" s="83"/>
      <c r="AW258" s="83"/>
      <c r="AX258" s="83"/>
      <c r="AY258" s="83"/>
      <c r="AZ258" s="83"/>
      <c r="BA258" s="83"/>
      <c r="BB258" s="83"/>
      <c r="BC258" s="83"/>
      <c r="BD258" s="83"/>
      <c r="BE258" s="83"/>
      <c r="BF258" s="83"/>
      <c r="BG258" s="83"/>
      <c r="BH258" s="83"/>
      <c r="BI258" s="83"/>
      <c r="BJ258" s="83"/>
      <c r="BK258" s="83"/>
      <c r="BL258" s="83"/>
      <c r="BM258" s="83"/>
      <c r="BN258" s="83"/>
      <c r="BO258" s="83"/>
      <c r="BP258" s="83"/>
      <c r="BQ258" s="83"/>
      <c r="BR258" s="83"/>
      <c r="BS258" s="83"/>
      <c r="BT258" s="83"/>
      <c r="BU258" s="83"/>
    </row>
    <row r="259" spans="15:73"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H259" s="83"/>
      <c r="AI259" s="83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  <c r="AV259" s="83"/>
      <c r="AW259" s="83"/>
      <c r="AX259" s="83"/>
      <c r="AY259" s="83"/>
      <c r="AZ259" s="83"/>
      <c r="BA259" s="83"/>
      <c r="BB259" s="83"/>
      <c r="BC259" s="83"/>
      <c r="BD259" s="83"/>
      <c r="BE259" s="83"/>
      <c r="BF259" s="83"/>
      <c r="BG259" s="83"/>
      <c r="BH259" s="83"/>
      <c r="BI259" s="83"/>
      <c r="BJ259" s="83"/>
      <c r="BK259" s="83"/>
      <c r="BL259" s="83"/>
      <c r="BM259" s="83"/>
      <c r="BN259" s="83"/>
      <c r="BO259" s="83"/>
      <c r="BP259" s="83"/>
      <c r="BQ259" s="83"/>
      <c r="BR259" s="83"/>
      <c r="BS259" s="83"/>
      <c r="BT259" s="83"/>
      <c r="BU259" s="83"/>
    </row>
    <row r="260" spans="15:73"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3"/>
      <c r="AZ260" s="83"/>
      <c r="BA260" s="83"/>
      <c r="BB260" s="83"/>
      <c r="BC260" s="83"/>
      <c r="BD260" s="83"/>
      <c r="BE260" s="83"/>
      <c r="BF260" s="83"/>
      <c r="BG260" s="83"/>
      <c r="BH260" s="83"/>
      <c r="BI260" s="83"/>
      <c r="BJ260" s="83"/>
      <c r="BK260" s="83"/>
      <c r="BL260" s="83"/>
      <c r="BM260" s="83"/>
      <c r="BN260" s="83"/>
      <c r="BO260" s="83"/>
      <c r="BP260" s="83"/>
      <c r="BQ260" s="83"/>
      <c r="BR260" s="83"/>
      <c r="BS260" s="83"/>
      <c r="BT260" s="83"/>
      <c r="BU260" s="83"/>
    </row>
    <row r="261" spans="15:73"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G261" s="83"/>
      <c r="AH261" s="83"/>
      <c r="AI261" s="83"/>
      <c r="AJ261" s="83"/>
      <c r="AK261" s="83"/>
      <c r="AL261" s="83"/>
      <c r="AM261" s="83"/>
      <c r="AN261" s="83"/>
      <c r="AO261" s="83"/>
      <c r="AP261" s="83"/>
      <c r="AQ261" s="83"/>
      <c r="AR261" s="83"/>
      <c r="AS261" s="83"/>
      <c r="AT261" s="83"/>
      <c r="AU261" s="83"/>
      <c r="AV261" s="83"/>
      <c r="AW261" s="83"/>
      <c r="AX261" s="83"/>
      <c r="AY261" s="83"/>
      <c r="AZ261" s="83"/>
      <c r="BA261" s="83"/>
      <c r="BB261" s="83"/>
      <c r="BC261" s="83"/>
      <c r="BD261" s="83"/>
      <c r="BE261" s="83"/>
      <c r="BF261" s="83"/>
      <c r="BG261" s="83"/>
      <c r="BH261" s="83"/>
      <c r="BI261" s="83"/>
      <c r="BJ261" s="83"/>
      <c r="BK261" s="83"/>
      <c r="BL261" s="83"/>
      <c r="BM261" s="83"/>
      <c r="BN261" s="83"/>
      <c r="BO261" s="83"/>
      <c r="BP261" s="83"/>
      <c r="BQ261" s="83"/>
      <c r="BR261" s="83"/>
      <c r="BS261" s="83"/>
      <c r="BT261" s="83"/>
      <c r="BU261" s="83"/>
    </row>
    <row r="262" spans="15:73"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  <c r="AV262" s="83"/>
      <c r="AW262" s="83"/>
      <c r="AX262" s="83"/>
      <c r="AY262" s="83"/>
      <c r="AZ262" s="83"/>
      <c r="BA262" s="83"/>
      <c r="BB262" s="83"/>
      <c r="BC262" s="83"/>
      <c r="BD262" s="83"/>
      <c r="BE262" s="83"/>
      <c r="BF262" s="83"/>
      <c r="BG262" s="83"/>
      <c r="BH262" s="83"/>
      <c r="BI262" s="83"/>
      <c r="BJ262" s="83"/>
      <c r="BK262" s="83"/>
      <c r="BL262" s="83"/>
      <c r="BM262" s="83"/>
      <c r="BN262" s="83"/>
      <c r="BO262" s="83"/>
      <c r="BP262" s="83"/>
      <c r="BQ262" s="83"/>
      <c r="BR262" s="83"/>
      <c r="BS262" s="83"/>
      <c r="BT262" s="83"/>
      <c r="BU262" s="83"/>
    </row>
    <row r="263" spans="15:73"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/>
      <c r="AN263" s="83"/>
      <c r="AO263" s="83"/>
      <c r="AP263" s="83"/>
      <c r="AQ263" s="83"/>
      <c r="AR263" s="83"/>
      <c r="AS263" s="83"/>
      <c r="AT263" s="83"/>
      <c r="AU263" s="83"/>
      <c r="AV263" s="83"/>
      <c r="AW263" s="83"/>
      <c r="AX263" s="83"/>
      <c r="AY263" s="83"/>
      <c r="AZ263" s="83"/>
      <c r="BA263" s="83"/>
      <c r="BB263" s="83"/>
      <c r="BC263" s="83"/>
      <c r="BD263" s="83"/>
      <c r="BE263" s="83"/>
      <c r="BF263" s="83"/>
      <c r="BG263" s="83"/>
      <c r="BH263" s="83"/>
      <c r="BI263" s="83"/>
      <c r="BJ263" s="83"/>
      <c r="BK263" s="83"/>
      <c r="BL263" s="83"/>
      <c r="BM263" s="83"/>
      <c r="BN263" s="83"/>
      <c r="BO263" s="83"/>
      <c r="BP263" s="83"/>
      <c r="BQ263" s="83"/>
      <c r="BR263" s="83"/>
      <c r="BS263" s="83"/>
      <c r="BT263" s="83"/>
      <c r="BU263" s="83"/>
    </row>
    <row r="264" spans="15:73"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3"/>
      <c r="AU264" s="83"/>
      <c r="AV264" s="83"/>
      <c r="AW264" s="83"/>
      <c r="AX264" s="83"/>
      <c r="AY264" s="83"/>
      <c r="AZ264" s="83"/>
      <c r="BA264" s="83"/>
      <c r="BB264" s="83"/>
      <c r="BC264" s="83"/>
      <c r="BD264" s="83"/>
      <c r="BE264" s="83"/>
      <c r="BF264" s="83"/>
      <c r="BG264" s="83"/>
      <c r="BH264" s="83"/>
      <c r="BI264" s="83"/>
      <c r="BJ264" s="83"/>
      <c r="BK264" s="83"/>
      <c r="BL264" s="83"/>
      <c r="BM264" s="83"/>
      <c r="BN264" s="83"/>
      <c r="BO264" s="83"/>
      <c r="BP264" s="83"/>
      <c r="BQ264" s="83"/>
      <c r="BR264" s="83"/>
      <c r="BS264" s="83"/>
      <c r="BT264" s="83"/>
      <c r="BU264" s="83"/>
    </row>
    <row r="265" spans="15:73"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83"/>
      <c r="BG265" s="83"/>
      <c r="BH265" s="83"/>
      <c r="BI265" s="83"/>
      <c r="BJ265" s="83"/>
      <c r="BK265" s="83"/>
      <c r="BL265" s="83"/>
      <c r="BM265" s="83"/>
      <c r="BN265" s="83"/>
      <c r="BO265" s="83"/>
      <c r="BP265" s="83"/>
      <c r="BQ265" s="83"/>
      <c r="BR265" s="83"/>
      <c r="BS265" s="83"/>
      <c r="BT265" s="83"/>
      <c r="BU265" s="83"/>
    </row>
    <row r="266" spans="15:73"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3"/>
      <c r="AU266" s="83"/>
      <c r="AV266" s="83"/>
      <c r="AW266" s="83"/>
      <c r="AX266" s="83"/>
      <c r="AY266" s="83"/>
      <c r="AZ266" s="83"/>
      <c r="BA266" s="83"/>
      <c r="BB266" s="83"/>
      <c r="BC266" s="83"/>
      <c r="BD266" s="83"/>
      <c r="BE266" s="83"/>
      <c r="BF266" s="83"/>
      <c r="BG266" s="83"/>
      <c r="BH266" s="83"/>
      <c r="BI266" s="83"/>
      <c r="BJ266" s="83"/>
      <c r="BK266" s="83"/>
      <c r="BL266" s="83"/>
      <c r="BM266" s="83"/>
      <c r="BN266" s="83"/>
      <c r="BO266" s="83"/>
      <c r="BP266" s="83"/>
      <c r="BQ266" s="83"/>
      <c r="BR266" s="83"/>
      <c r="BS266" s="83"/>
      <c r="BT266" s="83"/>
      <c r="BU266" s="83"/>
    </row>
    <row r="267" spans="15:73"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  <c r="AV267" s="83"/>
      <c r="AW267" s="83"/>
      <c r="AX267" s="83"/>
      <c r="AY267" s="83"/>
      <c r="AZ267" s="83"/>
      <c r="BA267" s="83"/>
      <c r="BB267" s="83"/>
      <c r="BC267" s="83"/>
      <c r="BD267" s="83"/>
      <c r="BE267" s="83"/>
      <c r="BF267" s="83"/>
      <c r="BG267" s="83"/>
      <c r="BH267" s="83"/>
      <c r="BI267" s="83"/>
      <c r="BJ267" s="83"/>
      <c r="BK267" s="83"/>
      <c r="BL267" s="83"/>
      <c r="BM267" s="83"/>
      <c r="BN267" s="83"/>
      <c r="BO267" s="83"/>
      <c r="BP267" s="83"/>
      <c r="BQ267" s="83"/>
      <c r="BR267" s="83"/>
      <c r="BS267" s="83"/>
      <c r="BT267" s="83"/>
      <c r="BU267" s="83"/>
    </row>
    <row r="268" spans="15:73"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  <c r="AV268" s="83"/>
      <c r="AW268" s="83"/>
      <c r="AX268" s="83"/>
      <c r="AY268" s="83"/>
      <c r="AZ268" s="83"/>
      <c r="BA268" s="83"/>
      <c r="BB268" s="83"/>
      <c r="BC268" s="83"/>
      <c r="BD268" s="83"/>
      <c r="BE268" s="83"/>
      <c r="BF268" s="83"/>
      <c r="BG268" s="83"/>
      <c r="BH268" s="83"/>
      <c r="BI268" s="83"/>
      <c r="BJ268" s="83"/>
      <c r="BK268" s="83"/>
      <c r="BL268" s="83"/>
      <c r="BM268" s="83"/>
      <c r="BN268" s="83"/>
      <c r="BO268" s="83"/>
      <c r="BP268" s="83"/>
      <c r="BQ268" s="83"/>
      <c r="BR268" s="83"/>
      <c r="BS268" s="83"/>
      <c r="BT268" s="83"/>
      <c r="BU268" s="83"/>
    </row>
    <row r="269" spans="15:73"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  <c r="AV269" s="83"/>
      <c r="AW269" s="83"/>
      <c r="AX269" s="83"/>
      <c r="AY269" s="83"/>
      <c r="AZ269" s="83"/>
      <c r="BA269" s="83"/>
      <c r="BB269" s="83"/>
      <c r="BC269" s="83"/>
      <c r="BD269" s="83"/>
      <c r="BE269" s="83"/>
      <c r="BF269" s="83"/>
      <c r="BG269" s="83"/>
      <c r="BH269" s="83"/>
      <c r="BI269" s="83"/>
      <c r="BJ269" s="83"/>
      <c r="BK269" s="83"/>
      <c r="BL269" s="83"/>
      <c r="BM269" s="83"/>
      <c r="BN269" s="83"/>
      <c r="BO269" s="83"/>
      <c r="BP269" s="83"/>
      <c r="BQ269" s="83"/>
      <c r="BR269" s="83"/>
      <c r="BS269" s="83"/>
      <c r="BT269" s="83"/>
      <c r="BU269" s="83"/>
    </row>
    <row r="270" spans="15:73"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  <c r="AE270" s="83"/>
      <c r="AF270" s="83"/>
      <c r="AG270" s="83"/>
      <c r="AH270" s="83"/>
      <c r="AI270" s="83"/>
      <c r="AJ270" s="83"/>
      <c r="AK270" s="83"/>
      <c r="AL270" s="83"/>
      <c r="AM270" s="83"/>
      <c r="AN270" s="83"/>
      <c r="AO270" s="83"/>
      <c r="AP270" s="83"/>
      <c r="AQ270" s="83"/>
      <c r="AR270" s="83"/>
      <c r="AS270" s="83"/>
      <c r="AT270" s="83"/>
      <c r="AU270" s="83"/>
      <c r="AV270" s="83"/>
      <c r="AW270" s="83"/>
      <c r="AX270" s="83"/>
      <c r="AY270" s="83"/>
      <c r="AZ270" s="83"/>
      <c r="BA270" s="83"/>
      <c r="BB270" s="83"/>
      <c r="BC270" s="83"/>
      <c r="BD270" s="83"/>
      <c r="BE270" s="83"/>
      <c r="BF270" s="83"/>
      <c r="BG270" s="83"/>
      <c r="BH270" s="83"/>
      <c r="BI270" s="83"/>
      <c r="BJ270" s="83"/>
      <c r="BK270" s="83"/>
      <c r="BL270" s="83"/>
      <c r="BM270" s="83"/>
      <c r="BN270" s="83"/>
      <c r="BO270" s="83"/>
      <c r="BP270" s="83"/>
      <c r="BQ270" s="83"/>
      <c r="BR270" s="83"/>
      <c r="BS270" s="83"/>
      <c r="BT270" s="83"/>
      <c r="BU270" s="83"/>
    </row>
    <row r="271" spans="15:73"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AL271" s="83"/>
      <c r="AM271" s="83"/>
      <c r="AN271" s="83"/>
      <c r="AO271" s="83"/>
      <c r="AP271" s="83"/>
      <c r="AQ271" s="83"/>
      <c r="AR271" s="83"/>
      <c r="AS271" s="83"/>
      <c r="AT271" s="83"/>
      <c r="AU271" s="83"/>
      <c r="AV271" s="83"/>
      <c r="AW271" s="83"/>
      <c r="AX271" s="83"/>
      <c r="AY271" s="83"/>
      <c r="AZ271" s="83"/>
      <c r="BA271" s="83"/>
      <c r="BB271" s="83"/>
      <c r="BC271" s="83"/>
      <c r="BD271" s="83"/>
      <c r="BE271" s="83"/>
      <c r="BF271" s="83"/>
      <c r="BG271" s="83"/>
      <c r="BH271" s="83"/>
      <c r="BI271" s="83"/>
      <c r="BJ271" s="83"/>
      <c r="BK271" s="83"/>
      <c r="BL271" s="83"/>
      <c r="BM271" s="83"/>
      <c r="BN271" s="83"/>
      <c r="BO271" s="83"/>
      <c r="BP271" s="83"/>
      <c r="BQ271" s="83"/>
      <c r="BR271" s="83"/>
      <c r="BS271" s="83"/>
      <c r="BT271" s="83"/>
      <c r="BU271" s="83"/>
    </row>
    <row r="272" spans="15:73"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F272" s="83"/>
      <c r="AG272" s="83"/>
      <c r="AH272" s="83"/>
      <c r="AI272" s="83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  <c r="AV272" s="83"/>
      <c r="AW272" s="83"/>
      <c r="AX272" s="83"/>
      <c r="AY272" s="83"/>
      <c r="AZ272" s="83"/>
      <c r="BA272" s="83"/>
      <c r="BB272" s="83"/>
      <c r="BC272" s="83"/>
      <c r="BD272" s="83"/>
      <c r="BE272" s="83"/>
      <c r="BF272" s="83"/>
      <c r="BG272" s="83"/>
      <c r="BH272" s="83"/>
      <c r="BI272" s="83"/>
      <c r="BJ272" s="83"/>
      <c r="BK272" s="83"/>
      <c r="BL272" s="83"/>
      <c r="BM272" s="83"/>
      <c r="BN272" s="83"/>
      <c r="BO272" s="83"/>
      <c r="BP272" s="83"/>
      <c r="BQ272" s="83"/>
      <c r="BR272" s="83"/>
      <c r="BS272" s="83"/>
      <c r="BT272" s="83"/>
      <c r="BU272" s="83"/>
    </row>
    <row r="273" spans="15:73"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83"/>
      <c r="AF273" s="83"/>
      <c r="AG273" s="83"/>
      <c r="AH273" s="83"/>
      <c r="AI273" s="83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  <c r="AV273" s="83"/>
      <c r="AW273" s="83"/>
      <c r="AX273" s="83"/>
      <c r="AY273" s="83"/>
      <c r="AZ273" s="83"/>
      <c r="BA273" s="83"/>
      <c r="BB273" s="83"/>
      <c r="BC273" s="83"/>
      <c r="BD273" s="83"/>
      <c r="BE273" s="83"/>
      <c r="BF273" s="83"/>
      <c r="BG273" s="83"/>
      <c r="BH273" s="83"/>
      <c r="BI273" s="83"/>
      <c r="BJ273" s="83"/>
      <c r="BK273" s="83"/>
      <c r="BL273" s="83"/>
      <c r="BM273" s="83"/>
      <c r="BN273" s="83"/>
      <c r="BO273" s="83"/>
      <c r="BP273" s="83"/>
      <c r="BQ273" s="83"/>
      <c r="BR273" s="83"/>
      <c r="BS273" s="83"/>
      <c r="BT273" s="83"/>
      <c r="BU273" s="83"/>
    </row>
    <row r="274" spans="15:73"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83"/>
      <c r="AF274" s="83"/>
      <c r="AG274" s="83"/>
      <c r="AH274" s="83"/>
      <c r="AI274" s="83"/>
      <c r="AJ274" s="83"/>
      <c r="AK274" s="83"/>
      <c r="AL274" s="83"/>
      <c r="AM274" s="83"/>
      <c r="AN274" s="83"/>
      <c r="AO274" s="83"/>
      <c r="AP274" s="83"/>
      <c r="AQ274" s="83"/>
      <c r="AR274" s="83"/>
      <c r="AS274" s="83"/>
      <c r="AT274" s="83"/>
      <c r="AU274" s="83"/>
      <c r="AV274" s="83"/>
      <c r="AW274" s="83"/>
      <c r="AX274" s="83"/>
      <c r="AY274" s="83"/>
      <c r="AZ274" s="83"/>
      <c r="BA274" s="83"/>
      <c r="BB274" s="83"/>
      <c r="BC274" s="83"/>
      <c r="BD274" s="83"/>
      <c r="BE274" s="83"/>
      <c r="BF274" s="83"/>
      <c r="BG274" s="83"/>
      <c r="BH274" s="83"/>
      <c r="BI274" s="83"/>
      <c r="BJ274" s="83"/>
      <c r="BK274" s="83"/>
      <c r="BL274" s="83"/>
      <c r="BM274" s="83"/>
      <c r="BN274" s="83"/>
      <c r="BO274" s="83"/>
      <c r="BP274" s="83"/>
      <c r="BQ274" s="83"/>
      <c r="BR274" s="83"/>
      <c r="BS274" s="83"/>
      <c r="BT274" s="83"/>
      <c r="BU274" s="83"/>
    </row>
    <row r="275" spans="15:73"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  <c r="BA275" s="83"/>
      <c r="BB275" s="83"/>
      <c r="BC275" s="83"/>
      <c r="BD275" s="83"/>
      <c r="BE275" s="83"/>
      <c r="BF275" s="83"/>
      <c r="BG275" s="83"/>
      <c r="BH275" s="83"/>
      <c r="BI275" s="83"/>
      <c r="BJ275" s="83"/>
      <c r="BK275" s="83"/>
      <c r="BL275" s="83"/>
      <c r="BM275" s="83"/>
      <c r="BN275" s="83"/>
      <c r="BO275" s="83"/>
      <c r="BP275" s="83"/>
      <c r="BQ275" s="83"/>
      <c r="BR275" s="83"/>
      <c r="BS275" s="83"/>
      <c r="BT275" s="83"/>
      <c r="BU275" s="83"/>
    </row>
    <row r="276" spans="15:73"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F276" s="83"/>
      <c r="AG276" s="83"/>
      <c r="AH276" s="83"/>
      <c r="AI276" s="83"/>
      <c r="AJ276" s="83"/>
      <c r="AK276" s="83"/>
      <c r="AL276" s="83"/>
      <c r="AM276" s="83"/>
      <c r="AN276" s="83"/>
      <c r="AO276" s="83"/>
      <c r="AP276" s="83"/>
      <c r="AQ276" s="83"/>
      <c r="AR276" s="83"/>
      <c r="AS276" s="83"/>
      <c r="AT276" s="83"/>
      <c r="AU276" s="83"/>
      <c r="AV276" s="83"/>
      <c r="AW276" s="83"/>
      <c r="AX276" s="83"/>
      <c r="AY276" s="83"/>
      <c r="AZ276" s="83"/>
      <c r="BA276" s="83"/>
      <c r="BB276" s="83"/>
      <c r="BC276" s="83"/>
      <c r="BD276" s="83"/>
      <c r="BE276" s="83"/>
      <c r="BF276" s="83"/>
      <c r="BG276" s="83"/>
      <c r="BH276" s="83"/>
      <c r="BI276" s="83"/>
      <c r="BJ276" s="83"/>
      <c r="BK276" s="83"/>
      <c r="BL276" s="83"/>
      <c r="BM276" s="83"/>
      <c r="BN276" s="83"/>
      <c r="BO276" s="83"/>
      <c r="BP276" s="83"/>
      <c r="BQ276" s="83"/>
      <c r="BR276" s="83"/>
      <c r="BS276" s="83"/>
      <c r="BT276" s="83"/>
      <c r="BU276" s="83"/>
    </row>
    <row r="277" spans="15:73"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F277" s="83"/>
      <c r="AG277" s="83"/>
      <c r="AH277" s="83"/>
      <c r="AI277" s="83"/>
      <c r="AJ277" s="83"/>
      <c r="AK277" s="83"/>
      <c r="AL277" s="83"/>
      <c r="AM277" s="83"/>
      <c r="AN277" s="83"/>
      <c r="AO277" s="83"/>
      <c r="AP277" s="83"/>
      <c r="AQ277" s="83"/>
      <c r="AR277" s="83"/>
      <c r="AS277" s="83"/>
      <c r="AT277" s="83"/>
      <c r="AU277" s="83"/>
      <c r="AV277" s="83"/>
      <c r="AW277" s="83"/>
      <c r="AX277" s="83"/>
      <c r="AY277" s="83"/>
      <c r="AZ277" s="83"/>
      <c r="BA277" s="83"/>
      <c r="BB277" s="83"/>
      <c r="BC277" s="83"/>
      <c r="BD277" s="83"/>
      <c r="BE277" s="83"/>
      <c r="BF277" s="83"/>
      <c r="BG277" s="83"/>
      <c r="BH277" s="83"/>
      <c r="BI277" s="83"/>
      <c r="BJ277" s="83"/>
      <c r="BK277" s="83"/>
      <c r="BL277" s="83"/>
      <c r="BM277" s="83"/>
      <c r="BN277" s="83"/>
      <c r="BO277" s="83"/>
      <c r="BP277" s="83"/>
      <c r="BQ277" s="83"/>
      <c r="BR277" s="83"/>
      <c r="BS277" s="83"/>
      <c r="BT277" s="83"/>
      <c r="BU277" s="83"/>
    </row>
    <row r="278" spans="15:73"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83"/>
      <c r="AF278" s="83"/>
      <c r="AG278" s="83"/>
      <c r="AH278" s="83"/>
      <c r="AI278" s="83"/>
      <c r="AJ278" s="83"/>
      <c r="AK278" s="83"/>
      <c r="AL278" s="83"/>
      <c r="AM278" s="83"/>
      <c r="AN278" s="83"/>
      <c r="AO278" s="83"/>
      <c r="AP278" s="83"/>
      <c r="AQ278" s="83"/>
      <c r="AR278" s="83"/>
      <c r="AS278" s="83"/>
      <c r="AT278" s="83"/>
      <c r="AU278" s="83"/>
      <c r="AV278" s="83"/>
      <c r="AW278" s="83"/>
      <c r="AX278" s="83"/>
      <c r="AY278" s="83"/>
      <c r="AZ278" s="83"/>
      <c r="BA278" s="83"/>
      <c r="BB278" s="83"/>
      <c r="BC278" s="83"/>
      <c r="BD278" s="83"/>
      <c r="BE278" s="83"/>
      <c r="BF278" s="83"/>
      <c r="BG278" s="83"/>
      <c r="BH278" s="83"/>
      <c r="BI278" s="83"/>
      <c r="BJ278" s="83"/>
      <c r="BK278" s="83"/>
      <c r="BL278" s="83"/>
      <c r="BM278" s="83"/>
      <c r="BN278" s="83"/>
      <c r="BO278" s="83"/>
      <c r="BP278" s="83"/>
      <c r="BQ278" s="83"/>
      <c r="BR278" s="83"/>
      <c r="BS278" s="83"/>
      <c r="BT278" s="83"/>
      <c r="BU278" s="83"/>
    </row>
    <row r="279" spans="15:73"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  <c r="AA279" s="83"/>
      <c r="AB279" s="83"/>
      <c r="AC279" s="83"/>
      <c r="AD279" s="83"/>
      <c r="AE279" s="83"/>
      <c r="AF279" s="83"/>
      <c r="AG279" s="83"/>
      <c r="AH279" s="83"/>
      <c r="AI279" s="83"/>
      <c r="AJ279" s="83"/>
      <c r="AK279" s="83"/>
      <c r="AL279" s="83"/>
      <c r="AM279" s="83"/>
      <c r="AN279" s="83"/>
      <c r="AO279" s="83"/>
      <c r="AP279" s="83"/>
      <c r="AQ279" s="83"/>
      <c r="AR279" s="83"/>
      <c r="AS279" s="83"/>
      <c r="AT279" s="83"/>
      <c r="AU279" s="83"/>
      <c r="AV279" s="83"/>
      <c r="AW279" s="83"/>
      <c r="AX279" s="83"/>
      <c r="AY279" s="83"/>
      <c r="AZ279" s="83"/>
      <c r="BA279" s="83"/>
      <c r="BB279" s="83"/>
      <c r="BC279" s="83"/>
      <c r="BD279" s="83"/>
      <c r="BE279" s="83"/>
      <c r="BF279" s="83"/>
      <c r="BG279" s="83"/>
      <c r="BH279" s="83"/>
      <c r="BI279" s="83"/>
      <c r="BJ279" s="83"/>
      <c r="BK279" s="83"/>
      <c r="BL279" s="83"/>
      <c r="BM279" s="83"/>
      <c r="BN279" s="83"/>
      <c r="BO279" s="83"/>
      <c r="BP279" s="83"/>
      <c r="BQ279" s="83"/>
      <c r="BR279" s="83"/>
      <c r="BS279" s="83"/>
      <c r="BT279" s="83"/>
      <c r="BU279" s="83"/>
    </row>
    <row r="280" spans="15:73"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3"/>
      <c r="AZ280" s="83"/>
      <c r="BA280" s="83"/>
      <c r="BB280" s="83"/>
      <c r="BC280" s="83"/>
      <c r="BD280" s="83"/>
      <c r="BE280" s="83"/>
      <c r="BF280" s="83"/>
      <c r="BG280" s="83"/>
      <c r="BH280" s="83"/>
      <c r="BI280" s="83"/>
      <c r="BJ280" s="83"/>
      <c r="BK280" s="83"/>
      <c r="BL280" s="83"/>
      <c r="BM280" s="83"/>
      <c r="BN280" s="83"/>
      <c r="BO280" s="83"/>
      <c r="BP280" s="83"/>
      <c r="BQ280" s="83"/>
      <c r="BR280" s="83"/>
      <c r="BS280" s="83"/>
      <c r="BT280" s="83"/>
      <c r="BU280" s="83"/>
    </row>
    <row r="281" spans="15:73"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3"/>
      <c r="AF281" s="83"/>
      <c r="AG281" s="83"/>
      <c r="AH281" s="83"/>
      <c r="AI281" s="83"/>
      <c r="AJ281" s="83"/>
      <c r="AK281" s="83"/>
      <c r="AL281" s="83"/>
      <c r="AM281" s="83"/>
      <c r="AN281" s="83"/>
      <c r="AO281" s="83"/>
      <c r="AP281" s="83"/>
      <c r="AQ281" s="83"/>
      <c r="AR281" s="83"/>
      <c r="AS281" s="83"/>
      <c r="AT281" s="83"/>
      <c r="AU281" s="83"/>
      <c r="AV281" s="83"/>
      <c r="AW281" s="83"/>
      <c r="AX281" s="83"/>
      <c r="AY281" s="83"/>
      <c r="AZ281" s="83"/>
      <c r="BA281" s="83"/>
      <c r="BB281" s="83"/>
      <c r="BC281" s="83"/>
      <c r="BD281" s="83"/>
      <c r="BE281" s="83"/>
      <c r="BF281" s="83"/>
      <c r="BG281" s="83"/>
      <c r="BH281" s="83"/>
      <c r="BI281" s="83"/>
      <c r="BJ281" s="83"/>
      <c r="BK281" s="83"/>
      <c r="BL281" s="83"/>
      <c r="BM281" s="83"/>
      <c r="BN281" s="83"/>
      <c r="BO281" s="83"/>
      <c r="BP281" s="83"/>
      <c r="BQ281" s="83"/>
      <c r="BR281" s="83"/>
      <c r="BS281" s="83"/>
      <c r="BT281" s="83"/>
      <c r="BU281" s="83"/>
    </row>
    <row r="282" spans="15:73"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83"/>
      <c r="AF282" s="83"/>
      <c r="AG282" s="83"/>
      <c r="AH282" s="83"/>
      <c r="AI282" s="83"/>
      <c r="AJ282" s="83"/>
      <c r="AK282" s="83"/>
      <c r="AL282" s="83"/>
      <c r="AM282" s="83"/>
      <c r="AN282" s="83"/>
      <c r="AO282" s="83"/>
      <c r="AP282" s="83"/>
      <c r="AQ282" s="83"/>
      <c r="AR282" s="83"/>
      <c r="AS282" s="83"/>
      <c r="AT282" s="83"/>
      <c r="AU282" s="83"/>
      <c r="AV282" s="83"/>
      <c r="AW282" s="83"/>
      <c r="AX282" s="83"/>
      <c r="AY282" s="83"/>
      <c r="AZ282" s="83"/>
      <c r="BA282" s="83"/>
      <c r="BB282" s="83"/>
      <c r="BC282" s="83"/>
      <c r="BD282" s="83"/>
      <c r="BE282" s="83"/>
      <c r="BF282" s="83"/>
      <c r="BG282" s="83"/>
      <c r="BH282" s="83"/>
      <c r="BI282" s="83"/>
      <c r="BJ282" s="83"/>
      <c r="BK282" s="83"/>
      <c r="BL282" s="83"/>
      <c r="BM282" s="83"/>
      <c r="BN282" s="83"/>
      <c r="BO282" s="83"/>
      <c r="BP282" s="83"/>
      <c r="BQ282" s="83"/>
      <c r="BR282" s="83"/>
      <c r="BS282" s="83"/>
      <c r="BT282" s="83"/>
      <c r="BU282" s="83"/>
    </row>
    <row r="283" spans="15:73"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F283" s="83"/>
      <c r="AG283" s="83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3"/>
      <c r="AZ283" s="83"/>
      <c r="BA283" s="83"/>
      <c r="BB283" s="83"/>
      <c r="BC283" s="83"/>
      <c r="BD283" s="83"/>
      <c r="BE283" s="83"/>
      <c r="BF283" s="83"/>
      <c r="BG283" s="83"/>
      <c r="BH283" s="83"/>
      <c r="BI283" s="83"/>
      <c r="BJ283" s="83"/>
      <c r="BK283" s="83"/>
      <c r="BL283" s="83"/>
      <c r="BM283" s="83"/>
      <c r="BN283" s="83"/>
      <c r="BO283" s="83"/>
      <c r="BP283" s="83"/>
      <c r="BQ283" s="83"/>
      <c r="BR283" s="83"/>
      <c r="BS283" s="83"/>
      <c r="BT283" s="83"/>
      <c r="BU283" s="83"/>
    </row>
    <row r="284" spans="15:73"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  <c r="AD284" s="83"/>
      <c r="AE284" s="83"/>
      <c r="AF284" s="83"/>
      <c r="AG284" s="83"/>
      <c r="AH284" s="83"/>
      <c r="AI284" s="83"/>
      <c r="AJ284" s="83"/>
      <c r="AK284" s="83"/>
      <c r="AL284" s="83"/>
      <c r="AM284" s="83"/>
      <c r="AN284" s="83"/>
      <c r="AO284" s="83"/>
      <c r="AP284" s="83"/>
      <c r="AQ284" s="83"/>
      <c r="AR284" s="83"/>
      <c r="AS284" s="83"/>
      <c r="AT284" s="83"/>
      <c r="AU284" s="83"/>
      <c r="AV284" s="83"/>
      <c r="AW284" s="83"/>
      <c r="AX284" s="83"/>
      <c r="AY284" s="83"/>
      <c r="AZ284" s="83"/>
      <c r="BA284" s="83"/>
      <c r="BB284" s="83"/>
      <c r="BC284" s="83"/>
      <c r="BD284" s="83"/>
      <c r="BE284" s="83"/>
      <c r="BF284" s="83"/>
      <c r="BG284" s="83"/>
      <c r="BH284" s="83"/>
      <c r="BI284" s="83"/>
      <c r="BJ284" s="83"/>
      <c r="BK284" s="83"/>
      <c r="BL284" s="83"/>
      <c r="BM284" s="83"/>
      <c r="BN284" s="83"/>
      <c r="BO284" s="83"/>
      <c r="BP284" s="83"/>
      <c r="BQ284" s="83"/>
      <c r="BR284" s="83"/>
      <c r="BS284" s="83"/>
      <c r="BT284" s="83"/>
      <c r="BU284" s="83"/>
    </row>
    <row r="285" spans="15:73"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  <c r="AC285" s="83"/>
      <c r="AD285" s="83"/>
      <c r="AE285" s="83"/>
      <c r="AF285" s="83"/>
      <c r="AG285" s="83"/>
      <c r="AH285" s="83"/>
      <c r="AI285" s="83"/>
      <c r="AJ285" s="83"/>
      <c r="AK285" s="83"/>
      <c r="AL285" s="83"/>
      <c r="AM285" s="83"/>
      <c r="AN285" s="83"/>
      <c r="AO285" s="83"/>
      <c r="AP285" s="83"/>
      <c r="AQ285" s="83"/>
      <c r="AR285" s="83"/>
      <c r="AS285" s="83"/>
      <c r="AT285" s="83"/>
      <c r="AU285" s="83"/>
      <c r="AV285" s="83"/>
      <c r="AW285" s="83"/>
      <c r="AX285" s="83"/>
      <c r="AY285" s="83"/>
      <c r="AZ285" s="83"/>
      <c r="BA285" s="83"/>
      <c r="BB285" s="83"/>
      <c r="BC285" s="83"/>
      <c r="BD285" s="83"/>
      <c r="BE285" s="83"/>
      <c r="BF285" s="83"/>
      <c r="BG285" s="83"/>
      <c r="BH285" s="83"/>
      <c r="BI285" s="83"/>
      <c r="BJ285" s="83"/>
      <c r="BK285" s="83"/>
      <c r="BL285" s="83"/>
      <c r="BM285" s="83"/>
      <c r="BN285" s="83"/>
      <c r="BO285" s="83"/>
      <c r="BP285" s="83"/>
      <c r="BQ285" s="83"/>
      <c r="BR285" s="83"/>
      <c r="BS285" s="83"/>
      <c r="BT285" s="83"/>
      <c r="BU285" s="83"/>
    </row>
    <row r="286" spans="15:73"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  <c r="AE286" s="83"/>
      <c r="AF286" s="83"/>
      <c r="AG286" s="83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3"/>
      <c r="AZ286" s="83"/>
      <c r="BA286" s="83"/>
      <c r="BB286" s="83"/>
      <c r="BC286" s="83"/>
      <c r="BD286" s="83"/>
      <c r="BE286" s="83"/>
      <c r="BF286" s="83"/>
      <c r="BG286" s="83"/>
      <c r="BH286" s="83"/>
      <c r="BI286" s="83"/>
      <c r="BJ286" s="83"/>
      <c r="BK286" s="83"/>
      <c r="BL286" s="83"/>
      <c r="BM286" s="83"/>
      <c r="BN286" s="83"/>
      <c r="BO286" s="83"/>
      <c r="BP286" s="83"/>
      <c r="BQ286" s="83"/>
      <c r="BR286" s="83"/>
      <c r="BS286" s="83"/>
      <c r="BT286" s="83"/>
      <c r="BU286" s="83"/>
    </row>
    <row r="287" spans="15:73"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  <c r="BA287" s="83"/>
      <c r="BB287" s="83"/>
      <c r="BC287" s="83"/>
      <c r="BD287" s="83"/>
      <c r="BE287" s="83"/>
      <c r="BF287" s="83"/>
      <c r="BG287" s="83"/>
      <c r="BH287" s="83"/>
      <c r="BI287" s="83"/>
      <c r="BJ287" s="83"/>
      <c r="BK287" s="83"/>
      <c r="BL287" s="83"/>
      <c r="BM287" s="83"/>
      <c r="BN287" s="83"/>
      <c r="BO287" s="83"/>
      <c r="BP287" s="83"/>
      <c r="BQ287" s="83"/>
      <c r="BR287" s="83"/>
      <c r="BS287" s="83"/>
      <c r="BT287" s="83"/>
      <c r="BU287" s="83"/>
    </row>
    <row r="288" spans="15:73"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G288" s="83"/>
      <c r="AH288" s="83"/>
      <c r="AI288" s="83"/>
      <c r="AJ288" s="83"/>
      <c r="AK288" s="83"/>
      <c r="AL288" s="83"/>
      <c r="AM288" s="83"/>
      <c r="AN288" s="83"/>
      <c r="AO288" s="83"/>
      <c r="AP288" s="83"/>
      <c r="AQ288" s="83"/>
      <c r="AR288" s="83"/>
      <c r="AS288" s="83"/>
      <c r="AT288" s="83"/>
      <c r="AU288" s="83"/>
      <c r="AV288" s="83"/>
      <c r="AW288" s="83"/>
      <c r="AX288" s="83"/>
      <c r="AY288" s="83"/>
      <c r="AZ288" s="83"/>
      <c r="BA288" s="83"/>
      <c r="BB288" s="83"/>
      <c r="BC288" s="83"/>
      <c r="BD288" s="83"/>
      <c r="BE288" s="83"/>
      <c r="BF288" s="83"/>
      <c r="BG288" s="83"/>
      <c r="BH288" s="83"/>
      <c r="BI288" s="83"/>
      <c r="BJ288" s="83"/>
      <c r="BK288" s="83"/>
      <c r="BL288" s="83"/>
      <c r="BM288" s="83"/>
      <c r="BN288" s="83"/>
      <c r="BO288" s="83"/>
      <c r="BP288" s="83"/>
      <c r="BQ288" s="83"/>
      <c r="BR288" s="83"/>
      <c r="BS288" s="83"/>
      <c r="BT288" s="83"/>
      <c r="BU288" s="83"/>
    </row>
    <row r="289" spans="15:73"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83"/>
      <c r="AF289" s="83"/>
      <c r="AG289" s="83"/>
      <c r="AH289" s="83"/>
      <c r="AI289" s="83"/>
      <c r="AJ289" s="83"/>
      <c r="AK289" s="83"/>
      <c r="AL289" s="83"/>
      <c r="AM289" s="83"/>
      <c r="AN289" s="83"/>
      <c r="AO289" s="83"/>
      <c r="AP289" s="83"/>
      <c r="AQ289" s="83"/>
      <c r="AR289" s="83"/>
      <c r="AS289" s="83"/>
      <c r="AT289" s="83"/>
      <c r="AU289" s="83"/>
      <c r="AV289" s="83"/>
      <c r="AW289" s="83"/>
      <c r="AX289" s="83"/>
      <c r="AY289" s="83"/>
      <c r="AZ289" s="83"/>
      <c r="BA289" s="83"/>
      <c r="BB289" s="83"/>
      <c r="BC289" s="83"/>
      <c r="BD289" s="83"/>
      <c r="BE289" s="83"/>
      <c r="BF289" s="83"/>
      <c r="BG289" s="83"/>
      <c r="BH289" s="83"/>
      <c r="BI289" s="83"/>
      <c r="BJ289" s="83"/>
      <c r="BK289" s="83"/>
      <c r="BL289" s="83"/>
      <c r="BM289" s="83"/>
      <c r="BN289" s="83"/>
      <c r="BO289" s="83"/>
      <c r="BP289" s="83"/>
      <c r="BQ289" s="83"/>
      <c r="BR289" s="83"/>
      <c r="BS289" s="83"/>
      <c r="BT289" s="83"/>
      <c r="BU289" s="83"/>
    </row>
    <row r="290" spans="15:73"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3"/>
      <c r="AZ290" s="83"/>
      <c r="BA290" s="83"/>
      <c r="BB290" s="83"/>
      <c r="BC290" s="83"/>
      <c r="BD290" s="83"/>
      <c r="BE290" s="83"/>
      <c r="BF290" s="83"/>
      <c r="BG290" s="83"/>
      <c r="BH290" s="83"/>
      <c r="BI290" s="83"/>
      <c r="BJ290" s="83"/>
      <c r="BK290" s="83"/>
      <c r="BL290" s="83"/>
      <c r="BM290" s="83"/>
      <c r="BN290" s="83"/>
      <c r="BO290" s="83"/>
      <c r="BP290" s="83"/>
      <c r="BQ290" s="83"/>
      <c r="BR290" s="83"/>
      <c r="BS290" s="83"/>
      <c r="BT290" s="83"/>
      <c r="BU290" s="83"/>
    </row>
    <row r="291" spans="15:73"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  <c r="AE291" s="83"/>
      <c r="AF291" s="83"/>
      <c r="AG291" s="83"/>
      <c r="AH291" s="83"/>
      <c r="AI291" s="83"/>
      <c r="AJ291" s="83"/>
      <c r="AK291" s="83"/>
      <c r="AL291" s="83"/>
      <c r="AM291" s="83"/>
      <c r="AN291" s="83"/>
      <c r="AO291" s="83"/>
      <c r="AP291" s="83"/>
      <c r="AQ291" s="83"/>
      <c r="AR291" s="83"/>
      <c r="AS291" s="83"/>
      <c r="AT291" s="83"/>
      <c r="AU291" s="83"/>
      <c r="AV291" s="83"/>
      <c r="AW291" s="83"/>
      <c r="AX291" s="83"/>
      <c r="AY291" s="83"/>
      <c r="AZ291" s="83"/>
      <c r="BA291" s="83"/>
      <c r="BB291" s="83"/>
      <c r="BC291" s="83"/>
      <c r="BD291" s="83"/>
      <c r="BE291" s="83"/>
      <c r="BF291" s="83"/>
      <c r="BG291" s="83"/>
      <c r="BH291" s="83"/>
      <c r="BI291" s="83"/>
      <c r="BJ291" s="83"/>
      <c r="BK291" s="83"/>
      <c r="BL291" s="83"/>
      <c r="BM291" s="83"/>
      <c r="BN291" s="83"/>
      <c r="BO291" s="83"/>
      <c r="BP291" s="83"/>
      <c r="BQ291" s="83"/>
      <c r="BR291" s="83"/>
      <c r="BS291" s="83"/>
      <c r="BT291" s="83"/>
      <c r="BU291" s="83"/>
    </row>
    <row r="292" spans="15:73"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83"/>
      <c r="AF292" s="83"/>
      <c r="AG292" s="83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  <c r="AV292" s="83"/>
      <c r="AW292" s="83"/>
      <c r="AX292" s="83"/>
      <c r="AY292" s="83"/>
      <c r="AZ292" s="83"/>
      <c r="BA292" s="83"/>
      <c r="BB292" s="83"/>
      <c r="BC292" s="83"/>
      <c r="BD292" s="83"/>
      <c r="BE292" s="83"/>
      <c r="BF292" s="83"/>
      <c r="BG292" s="83"/>
      <c r="BH292" s="83"/>
      <c r="BI292" s="83"/>
      <c r="BJ292" s="83"/>
      <c r="BK292" s="83"/>
      <c r="BL292" s="83"/>
      <c r="BM292" s="83"/>
      <c r="BN292" s="83"/>
      <c r="BO292" s="83"/>
      <c r="BP292" s="83"/>
      <c r="BQ292" s="83"/>
      <c r="BR292" s="83"/>
      <c r="BS292" s="83"/>
      <c r="BT292" s="83"/>
      <c r="BU292" s="83"/>
    </row>
    <row r="293" spans="15:73"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  <c r="AE293" s="83"/>
      <c r="AF293" s="83"/>
      <c r="AG293" s="83"/>
      <c r="AH293" s="83"/>
      <c r="AI293" s="83"/>
      <c r="AJ293" s="83"/>
      <c r="AK293" s="83"/>
      <c r="AL293" s="83"/>
      <c r="AM293" s="83"/>
      <c r="AN293" s="83"/>
      <c r="AO293" s="83"/>
      <c r="AP293" s="83"/>
      <c r="AQ293" s="83"/>
      <c r="AR293" s="83"/>
      <c r="AS293" s="83"/>
      <c r="AT293" s="83"/>
      <c r="AU293" s="83"/>
      <c r="AV293" s="83"/>
      <c r="AW293" s="83"/>
      <c r="AX293" s="83"/>
      <c r="AY293" s="83"/>
      <c r="AZ293" s="83"/>
      <c r="BA293" s="83"/>
      <c r="BB293" s="83"/>
      <c r="BC293" s="83"/>
      <c r="BD293" s="83"/>
      <c r="BE293" s="83"/>
      <c r="BF293" s="83"/>
      <c r="BG293" s="83"/>
      <c r="BH293" s="83"/>
      <c r="BI293" s="83"/>
      <c r="BJ293" s="83"/>
      <c r="BK293" s="83"/>
      <c r="BL293" s="83"/>
      <c r="BM293" s="83"/>
      <c r="BN293" s="83"/>
      <c r="BO293" s="83"/>
      <c r="BP293" s="83"/>
      <c r="BQ293" s="83"/>
      <c r="BR293" s="83"/>
      <c r="BS293" s="83"/>
      <c r="BT293" s="83"/>
      <c r="BU293" s="83"/>
    </row>
    <row r="294" spans="15:73"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  <c r="AE294" s="83"/>
      <c r="AF294" s="83"/>
      <c r="AG294" s="83"/>
      <c r="AH294" s="83"/>
      <c r="AI294" s="83"/>
      <c r="AJ294" s="83"/>
      <c r="AK294" s="83"/>
      <c r="AL294" s="83"/>
      <c r="AM294" s="83"/>
      <c r="AN294" s="83"/>
      <c r="AO294" s="83"/>
      <c r="AP294" s="83"/>
      <c r="AQ294" s="83"/>
      <c r="AR294" s="83"/>
      <c r="AS294" s="83"/>
      <c r="AT294" s="83"/>
      <c r="AU294" s="83"/>
      <c r="AV294" s="83"/>
      <c r="AW294" s="83"/>
      <c r="AX294" s="83"/>
      <c r="AY294" s="83"/>
      <c r="AZ294" s="83"/>
      <c r="BA294" s="83"/>
      <c r="BB294" s="83"/>
      <c r="BC294" s="83"/>
      <c r="BD294" s="83"/>
      <c r="BE294" s="83"/>
      <c r="BF294" s="83"/>
      <c r="BG294" s="83"/>
      <c r="BH294" s="83"/>
      <c r="BI294" s="83"/>
      <c r="BJ294" s="83"/>
      <c r="BK294" s="83"/>
      <c r="BL294" s="83"/>
      <c r="BM294" s="83"/>
      <c r="BN294" s="83"/>
      <c r="BO294" s="83"/>
      <c r="BP294" s="83"/>
      <c r="BQ294" s="83"/>
      <c r="BR294" s="83"/>
      <c r="BS294" s="83"/>
      <c r="BT294" s="83"/>
      <c r="BU294" s="83"/>
    </row>
    <row r="295" spans="15:73"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3"/>
      <c r="AF295" s="83"/>
      <c r="AG295" s="83"/>
      <c r="AH295" s="83"/>
      <c r="AI295" s="83"/>
      <c r="AJ295" s="83"/>
      <c r="AK295" s="83"/>
      <c r="AL295" s="83"/>
      <c r="AM295" s="83"/>
      <c r="AN295" s="83"/>
      <c r="AO295" s="83"/>
      <c r="AP295" s="83"/>
      <c r="AQ295" s="83"/>
      <c r="AR295" s="83"/>
      <c r="AS295" s="83"/>
      <c r="AT295" s="83"/>
      <c r="AU295" s="83"/>
      <c r="AV295" s="83"/>
      <c r="AW295" s="83"/>
      <c r="AX295" s="83"/>
      <c r="AY295" s="83"/>
      <c r="AZ295" s="83"/>
      <c r="BA295" s="83"/>
      <c r="BB295" s="83"/>
      <c r="BC295" s="83"/>
      <c r="BD295" s="83"/>
      <c r="BE295" s="83"/>
      <c r="BF295" s="83"/>
      <c r="BG295" s="83"/>
      <c r="BH295" s="83"/>
      <c r="BI295" s="83"/>
      <c r="BJ295" s="83"/>
      <c r="BK295" s="83"/>
      <c r="BL295" s="83"/>
      <c r="BM295" s="83"/>
      <c r="BN295" s="83"/>
      <c r="BO295" s="83"/>
      <c r="BP295" s="83"/>
      <c r="BQ295" s="83"/>
      <c r="BR295" s="83"/>
      <c r="BS295" s="83"/>
      <c r="BT295" s="83"/>
      <c r="BU295" s="83"/>
    </row>
    <row r="296" spans="15:73"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3"/>
      <c r="AF296" s="83"/>
      <c r="AG296" s="83"/>
      <c r="AH296" s="83"/>
      <c r="AI296" s="83"/>
      <c r="AJ296" s="83"/>
      <c r="AK296" s="83"/>
      <c r="AL296" s="83"/>
      <c r="AM296" s="83"/>
      <c r="AN296" s="83"/>
      <c r="AO296" s="83"/>
      <c r="AP296" s="83"/>
      <c r="AQ296" s="83"/>
      <c r="AR296" s="83"/>
      <c r="AS296" s="83"/>
      <c r="AT296" s="83"/>
      <c r="AU296" s="83"/>
      <c r="AV296" s="83"/>
      <c r="AW296" s="83"/>
      <c r="AX296" s="83"/>
      <c r="AY296" s="83"/>
      <c r="AZ296" s="83"/>
      <c r="BA296" s="83"/>
      <c r="BB296" s="83"/>
      <c r="BC296" s="83"/>
      <c r="BD296" s="83"/>
      <c r="BE296" s="83"/>
      <c r="BF296" s="83"/>
      <c r="BG296" s="83"/>
      <c r="BH296" s="83"/>
      <c r="BI296" s="83"/>
      <c r="BJ296" s="83"/>
      <c r="BK296" s="83"/>
      <c r="BL296" s="83"/>
      <c r="BM296" s="83"/>
      <c r="BN296" s="83"/>
      <c r="BO296" s="83"/>
      <c r="BP296" s="83"/>
      <c r="BQ296" s="83"/>
      <c r="BR296" s="83"/>
      <c r="BS296" s="83"/>
      <c r="BT296" s="83"/>
      <c r="BU296" s="83"/>
    </row>
    <row r="297" spans="15:73"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  <c r="AE297" s="83"/>
      <c r="AF297" s="83"/>
      <c r="AG297" s="83"/>
      <c r="AH297" s="83"/>
      <c r="AI297" s="83"/>
      <c r="AJ297" s="83"/>
      <c r="AK297" s="83"/>
      <c r="AL297" s="83"/>
      <c r="AM297" s="83"/>
      <c r="AN297" s="83"/>
      <c r="AO297" s="83"/>
      <c r="AP297" s="83"/>
      <c r="AQ297" s="83"/>
      <c r="AR297" s="83"/>
      <c r="AS297" s="83"/>
      <c r="AT297" s="83"/>
      <c r="AU297" s="83"/>
      <c r="AV297" s="83"/>
      <c r="AW297" s="83"/>
      <c r="AX297" s="83"/>
      <c r="AY297" s="83"/>
      <c r="AZ297" s="83"/>
      <c r="BA297" s="83"/>
      <c r="BB297" s="83"/>
      <c r="BC297" s="83"/>
      <c r="BD297" s="83"/>
      <c r="BE297" s="83"/>
      <c r="BF297" s="83"/>
      <c r="BG297" s="83"/>
      <c r="BH297" s="83"/>
      <c r="BI297" s="83"/>
      <c r="BJ297" s="83"/>
      <c r="BK297" s="83"/>
      <c r="BL297" s="83"/>
      <c r="BM297" s="83"/>
      <c r="BN297" s="83"/>
      <c r="BO297" s="83"/>
      <c r="BP297" s="83"/>
      <c r="BQ297" s="83"/>
      <c r="BR297" s="83"/>
      <c r="BS297" s="83"/>
      <c r="BT297" s="83"/>
      <c r="BU297" s="83"/>
    </row>
    <row r="298" spans="15:73"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G298" s="83"/>
      <c r="AH298" s="83"/>
      <c r="AI298" s="83"/>
      <c r="AJ298" s="83"/>
      <c r="AK298" s="83"/>
      <c r="AL298" s="83"/>
      <c r="AM298" s="83"/>
      <c r="AN298" s="83"/>
      <c r="AO298" s="83"/>
      <c r="AP298" s="83"/>
      <c r="AQ298" s="83"/>
      <c r="AR298" s="83"/>
      <c r="AS298" s="83"/>
      <c r="AT298" s="83"/>
      <c r="AU298" s="83"/>
      <c r="AV298" s="83"/>
      <c r="AW298" s="83"/>
      <c r="AX298" s="83"/>
      <c r="AY298" s="83"/>
      <c r="AZ298" s="83"/>
      <c r="BA298" s="83"/>
      <c r="BB298" s="83"/>
      <c r="BC298" s="83"/>
      <c r="BD298" s="83"/>
      <c r="BE298" s="83"/>
      <c r="BF298" s="83"/>
      <c r="BG298" s="83"/>
      <c r="BH298" s="83"/>
      <c r="BI298" s="83"/>
      <c r="BJ298" s="83"/>
      <c r="BK298" s="83"/>
      <c r="BL298" s="83"/>
      <c r="BM298" s="83"/>
      <c r="BN298" s="83"/>
      <c r="BO298" s="83"/>
      <c r="BP298" s="83"/>
      <c r="BQ298" s="83"/>
      <c r="BR298" s="83"/>
      <c r="BS298" s="83"/>
      <c r="BT298" s="83"/>
      <c r="BU298" s="83"/>
    </row>
    <row r="299" spans="15:73"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G299" s="83"/>
      <c r="AH299" s="83"/>
      <c r="AI299" s="83"/>
      <c r="AJ299" s="83"/>
      <c r="AK299" s="83"/>
      <c r="AL299" s="83"/>
      <c r="AM299" s="83"/>
      <c r="AN299" s="83"/>
      <c r="AO299" s="83"/>
      <c r="AP299" s="83"/>
      <c r="AQ299" s="83"/>
      <c r="AR299" s="83"/>
      <c r="AS299" s="83"/>
      <c r="AT299" s="83"/>
      <c r="AU299" s="83"/>
      <c r="AV299" s="83"/>
      <c r="AW299" s="83"/>
      <c r="AX299" s="83"/>
      <c r="AY299" s="83"/>
      <c r="AZ299" s="83"/>
      <c r="BA299" s="83"/>
      <c r="BB299" s="83"/>
      <c r="BC299" s="83"/>
      <c r="BD299" s="83"/>
      <c r="BE299" s="83"/>
      <c r="BF299" s="83"/>
      <c r="BG299" s="83"/>
      <c r="BH299" s="83"/>
      <c r="BI299" s="83"/>
      <c r="BJ299" s="83"/>
      <c r="BK299" s="83"/>
      <c r="BL299" s="83"/>
      <c r="BM299" s="83"/>
      <c r="BN299" s="83"/>
      <c r="BO299" s="83"/>
      <c r="BP299" s="83"/>
      <c r="BQ299" s="83"/>
      <c r="BR299" s="83"/>
      <c r="BS299" s="83"/>
      <c r="BT299" s="83"/>
      <c r="BU299" s="83"/>
    </row>
    <row r="300" spans="15:73"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  <c r="AE300" s="83"/>
      <c r="AF300" s="83"/>
      <c r="AG300" s="83"/>
      <c r="AH300" s="83"/>
      <c r="AI300" s="83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  <c r="AV300" s="83"/>
      <c r="AW300" s="83"/>
      <c r="AX300" s="83"/>
      <c r="AY300" s="83"/>
      <c r="AZ300" s="83"/>
      <c r="BA300" s="83"/>
      <c r="BB300" s="83"/>
      <c r="BC300" s="83"/>
      <c r="BD300" s="83"/>
      <c r="BE300" s="83"/>
      <c r="BF300" s="83"/>
      <c r="BG300" s="83"/>
      <c r="BH300" s="83"/>
      <c r="BI300" s="83"/>
      <c r="BJ300" s="83"/>
      <c r="BK300" s="83"/>
      <c r="BL300" s="83"/>
      <c r="BM300" s="83"/>
      <c r="BN300" s="83"/>
      <c r="BO300" s="83"/>
      <c r="BP300" s="83"/>
      <c r="BQ300" s="83"/>
      <c r="BR300" s="83"/>
      <c r="BS300" s="83"/>
      <c r="BT300" s="83"/>
      <c r="BU300" s="83"/>
    </row>
    <row r="301" spans="15:73"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  <c r="AA301" s="83"/>
      <c r="AB301" s="83"/>
      <c r="AC301" s="83"/>
      <c r="AD301" s="83"/>
      <c r="AE301" s="83"/>
      <c r="AF301" s="83"/>
      <c r="AG301" s="83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  <c r="AV301" s="83"/>
      <c r="AW301" s="83"/>
      <c r="AX301" s="83"/>
      <c r="AY301" s="83"/>
      <c r="AZ301" s="83"/>
      <c r="BA301" s="83"/>
      <c r="BB301" s="83"/>
      <c r="BC301" s="83"/>
      <c r="BD301" s="83"/>
      <c r="BE301" s="83"/>
      <c r="BF301" s="83"/>
      <c r="BG301" s="83"/>
      <c r="BH301" s="83"/>
      <c r="BI301" s="83"/>
      <c r="BJ301" s="83"/>
      <c r="BK301" s="83"/>
      <c r="BL301" s="83"/>
      <c r="BM301" s="83"/>
      <c r="BN301" s="83"/>
      <c r="BO301" s="83"/>
      <c r="BP301" s="83"/>
      <c r="BQ301" s="83"/>
      <c r="BR301" s="83"/>
      <c r="BS301" s="83"/>
      <c r="BT301" s="83"/>
      <c r="BU301" s="83"/>
    </row>
    <row r="302" spans="15:73"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  <c r="AV302" s="83"/>
      <c r="AW302" s="83"/>
      <c r="AX302" s="83"/>
      <c r="AY302" s="83"/>
      <c r="AZ302" s="83"/>
      <c r="BA302" s="83"/>
      <c r="BB302" s="83"/>
      <c r="BC302" s="83"/>
      <c r="BD302" s="83"/>
      <c r="BE302" s="83"/>
      <c r="BF302" s="83"/>
      <c r="BG302" s="83"/>
      <c r="BH302" s="83"/>
      <c r="BI302" s="83"/>
      <c r="BJ302" s="83"/>
      <c r="BK302" s="83"/>
      <c r="BL302" s="83"/>
      <c r="BM302" s="83"/>
      <c r="BN302" s="83"/>
      <c r="BO302" s="83"/>
      <c r="BP302" s="83"/>
      <c r="BQ302" s="83"/>
      <c r="BR302" s="83"/>
      <c r="BS302" s="83"/>
      <c r="BT302" s="83"/>
      <c r="BU302" s="83"/>
    </row>
    <row r="303" spans="15:73"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  <c r="BB303" s="83"/>
      <c r="BC303" s="83"/>
      <c r="BD303" s="83"/>
      <c r="BE303" s="83"/>
      <c r="BF303" s="83"/>
      <c r="BG303" s="83"/>
      <c r="BH303" s="83"/>
      <c r="BI303" s="83"/>
      <c r="BJ303" s="83"/>
      <c r="BK303" s="83"/>
      <c r="BL303" s="83"/>
      <c r="BM303" s="83"/>
      <c r="BN303" s="83"/>
      <c r="BO303" s="83"/>
      <c r="BP303" s="83"/>
      <c r="BQ303" s="83"/>
      <c r="BR303" s="83"/>
      <c r="BS303" s="83"/>
      <c r="BT303" s="83"/>
      <c r="BU303" s="83"/>
    </row>
    <row r="304" spans="15:73"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  <c r="AA304" s="83"/>
      <c r="AB304" s="83"/>
      <c r="AC304" s="83"/>
      <c r="AD304" s="83"/>
      <c r="AE304" s="83"/>
      <c r="AF304" s="83"/>
      <c r="AG304" s="83"/>
      <c r="AH304" s="83"/>
      <c r="AI304" s="83"/>
      <c r="AJ304" s="83"/>
      <c r="AK304" s="83"/>
      <c r="AL304" s="83"/>
      <c r="AM304" s="83"/>
      <c r="AN304" s="83"/>
      <c r="AO304" s="83"/>
      <c r="AP304" s="83"/>
      <c r="AQ304" s="83"/>
      <c r="AR304" s="83"/>
      <c r="AS304" s="83"/>
      <c r="AT304" s="83"/>
      <c r="AU304" s="83"/>
      <c r="AV304" s="83"/>
      <c r="AW304" s="83"/>
      <c r="AX304" s="83"/>
      <c r="AY304" s="83"/>
      <c r="AZ304" s="83"/>
      <c r="BA304" s="83"/>
      <c r="BB304" s="83"/>
      <c r="BC304" s="83"/>
      <c r="BD304" s="83"/>
      <c r="BE304" s="83"/>
      <c r="BF304" s="83"/>
      <c r="BG304" s="83"/>
      <c r="BH304" s="83"/>
      <c r="BI304" s="83"/>
      <c r="BJ304" s="83"/>
      <c r="BK304" s="83"/>
      <c r="BL304" s="83"/>
      <c r="BM304" s="83"/>
      <c r="BN304" s="83"/>
      <c r="BO304" s="83"/>
      <c r="BP304" s="83"/>
      <c r="BQ304" s="83"/>
      <c r="BR304" s="83"/>
      <c r="BS304" s="83"/>
      <c r="BT304" s="83"/>
      <c r="BU304" s="83"/>
    </row>
    <row r="305" spans="15:73"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  <c r="AA305" s="83"/>
      <c r="AB305" s="83"/>
      <c r="AC305" s="83"/>
      <c r="AD305" s="83"/>
      <c r="AE305" s="83"/>
      <c r="AF305" s="83"/>
      <c r="AG305" s="83"/>
      <c r="AH305" s="83"/>
      <c r="AI305" s="83"/>
      <c r="AJ305" s="83"/>
      <c r="AK305" s="83"/>
      <c r="AL305" s="83"/>
      <c r="AM305" s="83"/>
      <c r="AN305" s="83"/>
      <c r="AO305" s="83"/>
      <c r="AP305" s="83"/>
      <c r="AQ305" s="83"/>
      <c r="AR305" s="83"/>
      <c r="AS305" s="83"/>
      <c r="AT305" s="83"/>
      <c r="AU305" s="83"/>
      <c r="AV305" s="83"/>
      <c r="AW305" s="83"/>
      <c r="AX305" s="83"/>
      <c r="AY305" s="83"/>
      <c r="AZ305" s="83"/>
      <c r="BA305" s="83"/>
      <c r="BB305" s="83"/>
      <c r="BC305" s="83"/>
      <c r="BD305" s="83"/>
      <c r="BE305" s="83"/>
      <c r="BF305" s="83"/>
      <c r="BG305" s="83"/>
      <c r="BH305" s="83"/>
      <c r="BI305" s="83"/>
      <c r="BJ305" s="83"/>
      <c r="BK305" s="83"/>
      <c r="BL305" s="83"/>
      <c r="BM305" s="83"/>
      <c r="BN305" s="83"/>
      <c r="BO305" s="83"/>
      <c r="BP305" s="83"/>
      <c r="BQ305" s="83"/>
      <c r="BR305" s="83"/>
      <c r="BS305" s="83"/>
      <c r="BT305" s="83"/>
      <c r="BU305" s="83"/>
    </row>
    <row r="306" spans="15:73"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  <c r="BB306" s="83"/>
      <c r="BC306" s="83"/>
      <c r="BD306" s="83"/>
      <c r="BE306" s="83"/>
      <c r="BF306" s="83"/>
      <c r="BG306" s="83"/>
      <c r="BH306" s="83"/>
      <c r="BI306" s="83"/>
      <c r="BJ306" s="83"/>
      <c r="BK306" s="83"/>
      <c r="BL306" s="83"/>
      <c r="BM306" s="83"/>
      <c r="BN306" s="83"/>
      <c r="BO306" s="83"/>
      <c r="BP306" s="83"/>
      <c r="BQ306" s="83"/>
      <c r="BR306" s="83"/>
      <c r="BS306" s="83"/>
      <c r="BT306" s="83"/>
      <c r="BU306" s="83"/>
    </row>
    <row r="307" spans="15:73"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  <c r="AA307" s="83"/>
      <c r="AB307" s="83"/>
      <c r="AC307" s="83"/>
      <c r="AD307" s="83"/>
      <c r="AE307" s="83"/>
      <c r="AF307" s="83"/>
      <c r="AG307" s="83"/>
      <c r="AH307" s="83"/>
      <c r="AI307" s="83"/>
      <c r="AJ307" s="83"/>
      <c r="AK307" s="83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  <c r="BA307" s="83"/>
      <c r="BB307" s="83"/>
      <c r="BC307" s="83"/>
      <c r="BD307" s="83"/>
      <c r="BE307" s="83"/>
      <c r="BF307" s="83"/>
      <c r="BG307" s="83"/>
      <c r="BH307" s="83"/>
      <c r="BI307" s="83"/>
      <c r="BJ307" s="83"/>
      <c r="BK307" s="83"/>
      <c r="BL307" s="83"/>
      <c r="BM307" s="83"/>
      <c r="BN307" s="83"/>
      <c r="BO307" s="83"/>
      <c r="BP307" s="83"/>
      <c r="BQ307" s="83"/>
      <c r="BR307" s="83"/>
      <c r="BS307" s="83"/>
      <c r="BT307" s="83"/>
      <c r="BU307" s="83"/>
    </row>
    <row r="308" spans="15:73"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  <c r="AA308" s="83"/>
      <c r="AB308" s="83"/>
      <c r="AC308" s="83"/>
      <c r="AD308" s="83"/>
      <c r="AE308" s="83"/>
      <c r="AF308" s="83"/>
      <c r="AG308" s="83"/>
      <c r="AH308" s="83"/>
      <c r="AI308" s="83"/>
      <c r="AJ308" s="83"/>
      <c r="AK308" s="83"/>
      <c r="AL308" s="83"/>
      <c r="AM308" s="83"/>
      <c r="AN308" s="83"/>
      <c r="AO308" s="83"/>
      <c r="AP308" s="83"/>
      <c r="AQ308" s="83"/>
      <c r="AR308" s="83"/>
      <c r="AS308" s="83"/>
      <c r="AT308" s="83"/>
      <c r="AU308" s="83"/>
      <c r="AV308" s="83"/>
      <c r="AW308" s="83"/>
      <c r="AX308" s="83"/>
      <c r="AY308" s="83"/>
      <c r="AZ308" s="83"/>
      <c r="BA308" s="83"/>
      <c r="BB308" s="83"/>
      <c r="BC308" s="83"/>
      <c r="BD308" s="83"/>
      <c r="BE308" s="83"/>
      <c r="BF308" s="83"/>
      <c r="BG308" s="83"/>
      <c r="BH308" s="83"/>
      <c r="BI308" s="83"/>
      <c r="BJ308" s="83"/>
      <c r="BK308" s="83"/>
      <c r="BL308" s="83"/>
      <c r="BM308" s="83"/>
      <c r="BN308" s="83"/>
      <c r="BO308" s="83"/>
      <c r="BP308" s="83"/>
      <c r="BQ308" s="83"/>
      <c r="BR308" s="83"/>
      <c r="BS308" s="83"/>
      <c r="BT308" s="83"/>
      <c r="BU308" s="83"/>
    </row>
    <row r="309" spans="15:73"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  <c r="AA309" s="83"/>
      <c r="AB309" s="83"/>
      <c r="AC309" s="83"/>
      <c r="AD309" s="83"/>
      <c r="AE309" s="83"/>
      <c r="AF309" s="83"/>
      <c r="AG309" s="83"/>
      <c r="AH309" s="83"/>
      <c r="AI309" s="83"/>
      <c r="AJ309" s="83"/>
      <c r="AK309" s="83"/>
      <c r="AL309" s="83"/>
      <c r="AM309" s="83"/>
      <c r="AN309" s="83"/>
      <c r="AO309" s="83"/>
      <c r="AP309" s="83"/>
      <c r="AQ309" s="83"/>
      <c r="AR309" s="83"/>
      <c r="AS309" s="83"/>
      <c r="AT309" s="83"/>
      <c r="AU309" s="83"/>
      <c r="AV309" s="83"/>
      <c r="AW309" s="83"/>
      <c r="AX309" s="83"/>
      <c r="AY309" s="83"/>
      <c r="AZ309" s="83"/>
      <c r="BA309" s="83"/>
      <c r="BB309" s="83"/>
      <c r="BC309" s="83"/>
      <c r="BD309" s="83"/>
      <c r="BE309" s="83"/>
      <c r="BF309" s="83"/>
      <c r="BG309" s="83"/>
      <c r="BH309" s="83"/>
      <c r="BI309" s="83"/>
      <c r="BJ309" s="83"/>
      <c r="BK309" s="83"/>
      <c r="BL309" s="83"/>
      <c r="BM309" s="83"/>
      <c r="BN309" s="83"/>
      <c r="BO309" s="83"/>
      <c r="BP309" s="83"/>
      <c r="BQ309" s="83"/>
      <c r="BR309" s="83"/>
      <c r="BS309" s="83"/>
      <c r="BT309" s="83"/>
      <c r="BU309" s="83"/>
    </row>
    <row r="310" spans="15:73"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  <c r="AA310" s="83"/>
      <c r="AB310" s="83"/>
      <c r="AC310" s="83"/>
      <c r="AD310" s="83"/>
      <c r="AE310" s="83"/>
      <c r="AF310" s="83"/>
      <c r="AG310" s="83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83"/>
      <c r="BG310" s="83"/>
      <c r="BH310" s="83"/>
      <c r="BI310" s="83"/>
      <c r="BJ310" s="83"/>
      <c r="BK310" s="83"/>
      <c r="BL310" s="83"/>
      <c r="BM310" s="83"/>
      <c r="BN310" s="83"/>
      <c r="BO310" s="83"/>
      <c r="BP310" s="83"/>
      <c r="BQ310" s="83"/>
      <c r="BR310" s="83"/>
      <c r="BS310" s="83"/>
      <c r="BT310" s="83"/>
      <c r="BU310" s="83"/>
    </row>
    <row r="311" spans="15:73"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  <c r="AA311" s="83"/>
      <c r="AB311" s="83"/>
      <c r="AC311" s="83"/>
      <c r="AD311" s="83"/>
      <c r="AE311" s="83"/>
      <c r="AF311" s="83"/>
      <c r="AG311" s="83"/>
      <c r="AH311" s="83"/>
      <c r="AI311" s="83"/>
      <c r="AJ311" s="83"/>
      <c r="AK311" s="83"/>
      <c r="AL311" s="83"/>
      <c r="AM311" s="83"/>
      <c r="AN311" s="83"/>
      <c r="AO311" s="83"/>
      <c r="AP311" s="83"/>
      <c r="AQ311" s="83"/>
      <c r="AR311" s="83"/>
      <c r="AS311" s="83"/>
      <c r="AT311" s="83"/>
      <c r="AU311" s="83"/>
      <c r="AV311" s="83"/>
      <c r="AW311" s="83"/>
      <c r="AX311" s="83"/>
      <c r="AY311" s="83"/>
      <c r="AZ311" s="83"/>
      <c r="BA311" s="83"/>
      <c r="BB311" s="83"/>
      <c r="BC311" s="83"/>
      <c r="BD311" s="83"/>
      <c r="BE311" s="83"/>
      <c r="BF311" s="83"/>
      <c r="BG311" s="83"/>
      <c r="BH311" s="83"/>
      <c r="BI311" s="83"/>
      <c r="BJ311" s="83"/>
      <c r="BK311" s="83"/>
      <c r="BL311" s="83"/>
      <c r="BM311" s="83"/>
      <c r="BN311" s="83"/>
      <c r="BO311" s="83"/>
      <c r="BP311" s="83"/>
      <c r="BQ311" s="83"/>
      <c r="BR311" s="83"/>
      <c r="BS311" s="83"/>
      <c r="BT311" s="83"/>
      <c r="BU311" s="83"/>
    </row>
    <row r="312" spans="15:73"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  <c r="AA312" s="83"/>
      <c r="AB312" s="83"/>
      <c r="AC312" s="83"/>
      <c r="AD312" s="83"/>
      <c r="AE312" s="83"/>
      <c r="AF312" s="83"/>
      <c r="AG312" s="83"/>
      <c r="AH312" s="83"/>
      <c r="AI312" s="83"/>
      <c r="AJ312" s="83"/>
      <c r="AK312" s="83"/>
      <c r="AL312" s="83"/>
      <c r="AM312" s="83"/>
      <c r="AN312" s="83"/>
      <c r="AO312" s="83"/>
      <c r="AP312" s="83"/>
      <c r="AQ312" s="83"/>
      <c r="AR312" s="83"/>
      <c r="AS312" s="83"/>
      <c r="AT312" s="83"/>
      <c r="AU312" s="83"/>
      <c r="AV312" s="83"/>
      <c r="AW312" s="83"/>
      <c r="AX312" s="83"/>
      <c r="AY312" s="83"/>
      <c r="AZ312" s="83"/>
      <c r="BA312" s="83"/>
      <c r="BB312" s="83"/>
      <c r="BC312" s="83"/>
      <c r="BD312" s="83"/>
      <c r="BE312" s="83"/>
      <c r="BF312" s="83"/>
      <c r="BG312" s="83"/>
      <c r="BH312" s="83"/>
      <c r="BI312" s="83"/>
      <c r="BJ312" s="83"/>
      <c r="BK312" s="83"/>
      <c r="BL312" s="83"/>
      <c r="BM312" s="83"/>
      <c r="BN312" s="83"/>
      <c r="BO312" s="83"/>
      <c r="BP312" s="83"/>
      <c r="BQ312" s="83"/>
      <c r="BR312" s="83"/>
      <c r="BS312" s="83"/>
      <c r="BT312" s="83"/>
      <c r="BU312" s="83"/>
    </row>
    <row r="313" spans="15:73"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  <c r="AA313" s="83"/>
      <c r="AB313" s="83"/>
      <c r="AC313" s="83"/>
      <c r="AD313" s="83"/>
      <c r="AE313" s="83"/>
      <c r="AF313" s="83"/>
      <c r="AG313" s="83"/>
      <c r="AH313" s="83"/>
      <c r="AI313" s="83"/>
      <c r="AJ313" s="83"/>
      <c r="AK313" s="83"/>
      <c r="AL313" s="83"/>
      <c r="AM313" s="83"/>
      <c r="AN313" s="83"/>
      <c r="AO313" s="83"/>
      <c r="AP313" s="83"/>
      <c r="AQ313" s="83"/>
      <c r="AR313" s="83"/>
      <c r="AS313" s="83"/>
      <c r="AT313" s="83"/>
      <c r="AU313" s="83"/>
      <c r="AV313" s="83"/>
      <c r="AW313" s="83"/>
      <c r="AX313" s="83"/>
      <c r="AY313" s="83"/>
      <c r="AZ313" s="83"/>
      <c r="BA313" s="83"/>
      <c r="BB313" s="83"/>
      <c r="BC313" s="83"/>
      <c r="BD313" s="83"/>
      <c r="BE313" s="83"/>
      <c r="BF313" s="83"/>
      <c r="BG313" s="83"/>
      <c r="BH313" s="83"/>
      <c r="BI313" s="83"/>
      <c r="BJ313" s="83"/>
      <c r="BK313" s="83"/>
      <c r="BL313" s="83"/>
      <c r="BM313" s="83"/>
      <c r="BN313" s="83"/>
      <c r="BO313" s="83"/>
      <c r="BP313" s="83"/>
      <c r="BQ313" s="83"/>
      <c r="BR313" s="83"/>
      <c r="BS313" s="83"/>
      <c r="BT313" s="83"/>
      <c r="BU313" s="83"/>
    </row>
    <row r="314" spans="15:73"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  <c r="AE314" s="83"/>
      <c r="AF314" s="83"/>
      <c r="AG314" s="83"/>
      <c r="AH314" s="83"/>
      <c r="AI314" s="83"/>
      <c r="AJ314" s="83"/>
      <c r="AK314" s="83"/>
      <c r="AL314" s="83"/>
      <c r="AM314" s="83"/>
      <c r="AN314" s="83"/>
      <c r="AO314" s="83"/>
      <c r="AP314" s="83"/>
      <c r="AQ314" s="83"/>
      <c r="AR314" s="83"/>
      <c r="AS314" s="83"/>
      <c r="AT314" s="83"/>
      <c r="AU314" s="83"/>
      <c r="AV314" s="83"/>
      <c r="AW314" s="83"/>
      <c r="AX314" s="83"/>
      <c r="AY314" s="83"/>
      <c r="AZ314" s="83"/>
      <c r="BA314" s="83"/>
      <c r="BB314" s="83"/>
      <c r="BC314" s="83"/>
      <c r="BD314" s="83"/>
      <c r="BE314" s="83"/>
      <c r="BF314" s="83"/>
      <c r="BG314" s="83"/>
      <c r="BH314" s="83"/>
      <c r="BI314" s="83"/>
      <c r="BJ314" s="83"/>
      <c r="BK314" s="83"/>
      <c r="BL314" s="83"/>
      <c r="BM314" s="83"/>
      <c r="BN314" s="83"/>
      <c r="BO314" s="83"/>
      <c r="BP314" s="83"/>
      <c r="BQ314" s="83"/>
      <c r="BR314" s="83"/>
      <c r="BS314" s="83"/>
      <c r="BT314" s="83"/>
      <c r="BU314" s="83"/>
    </row>
    <row r="315" spans="15:73"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  <c r="AA315" s="83"/>
      <c r="AB315" s="83"/>
      <c r="AC315" s="83"/>
      <c r="AD315" s="83"/>
      <c r="AE315" s="83"/>
      <c r="AF315" s="83"/>
      <c r="AG315" s="83"/>
      <c r="AH315" s="83"/>
      <c r="AI315" s="83"/>
      <c r="AJ315" s="83"/>
      <c r="AK315" s="83"/>
      <c r="AL315" s="83"/>
      <c r="AM315" s="83"/>
      <c r="AN315" s="83"/>
      <c r="AO315" s="83"/>
      <c r="AP315" s="83"/>
      <c r="AQ315" s="83"/>
      <c r="AR315" s="83"/>
      <c r="AS315" s="83"/>
      <c r="AT315" s="83"/>
      <c r="AU315" s="83"/>
      <c r="AV315" s="83"/>
      <c r="AW315" s="83"/>
      <c r="AX315" s="83"/>
      <c r="AY315" s="83"/>
      <c r="AZ315" s="83"/>
      <c r="BA315" s="83"/>
      <c r="BB315" s="83"/>
      <c r="BC315" s="83"/>
      <c r="BD315" s="83"/>
      <c r="BE315" s="83"/>
      <c r="BF315" s="83"/>
      <c r="BG315" s="83"/>
      <c r="BH315" s="83"/>
      <c r="BI315" s="83"/>
      <c r="BJ315" s="83"/>
      <c r="BK315" s="83"/>
      <c r="BL315" s="83"/>
      <c r="BM315" s="83"/>
      <c r="BN315" s="83"/>
      <c r="BO315" s="83"/>
      <c r="BP315" s="83"/>
      <c r="BQ315" s="83"/>
      <c r="BR315" s="83"/>
      <c r="BS315" s="83"/>
      <c r="BT315" s="83"/>
      <c r="BU315" s="83"/>
    </row>
    <row r="316" spans="15:73"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  <c r="AA316" s="83"/>
      <c r="AB316" s="83"/>
      <c r="AC316" s="83"/>
      <c r="AD316" s="83"/>
      <c r="AE316" s="83"/>
      <c r="AF316" s="83"/>
      <c r="AG316" s="83"/>
      <c r="AH316" s="83"/>
      <c r="AI316" s="83"/>
      <c r="AJ316" s="83"/>
      <c r="AK316" s="83"/>
      <c r="AL316" s="83"/>
      <c r="AM316" s="83"/>
      <c r="AN316" s="83"/>
      <c r="AO316" s="83"/>
      <c r="AP316" s="83"/>
      <c r="AQ316" s="83"/>
      <c r="AR316" s="83"/>
      <c r="AS316" s="83"/>
      <c r="AT316" s="83"/>
      <c r="AU316" s="83"/>
      <c r="AV316" s="83"/>
      <c r="AW316" s="83"/>
      <c r="AX316" s="83"/>
      <c r="AY316" s="83"/>
      <c r="AZ316" s="83"/>
      <c r="BA316" s="83"/>
      <c r="BB316" s="83"/>
      <c r="BC316" s="83"/>
      <c r="BD316" s="83"/>
      <c r="BE316" s="83"/>
      <c r="BF316" s="83"/>
      <c r="BG316" s="83"/>
      <c r="BH316" s="83"/>
      <c r="BI316" s="83"/>
      <c r="BJ316" s="83"/>
      <c r="BK316" s="83"/>
      <c r="BL316" s="83"/>
      <c r="BM316" s="83"/>
      <c r="BN316" s="83"/>
      <c r="BO316" s="83"/>
      <c r="BP316" s="83"/>
      <c r="BQ316" s="83"/>
      <c r="BR316" s="83"/>
      <c r="BS316" s="83"/>
      <c r="BT316" s="83"/>
      <c r="BU316" s="83"/>
    </row>
    <row r="317" spans="15:73"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  <c r="AN317" s="83"/>
      <c r="AO317" s="83"/>
      <c r="AP317" s="83"/>
      <c r="AQ317" s="83"/>
      <c r="AR317" s="83"/>
      <c r="AS317" s="83"/>
      <c r="AT317" s="83"/>
      <c r="AU317" s="83"/>
      <c r="AV317" s="83"/>
      <c r="AW317" s="83"/>
      <c r="AX317" s="83"/>
      <c r="AY317" s="83"/>
      <c r="AZ317" s="83"/>
      <c r="BA317" s="83"/>
      <c r="BB317" s="83"/>
      <c r="BC317" s="83"/>
      <c r="BD317" s="83"/>
      <c r="BE317" s="83"/>
      <c r="BF317" s="83"/>
      <c r="BG317" s="83"/>
      <c r="BH317" s="83"/>
      <c r="BI317" s="83"/>
      <c r="BJ317" s="83"/>
      <c r="BK317" s="83"/>
      <c r="BL317" s="83"/>
      <c r="BM317" s="83"/>
      <c r="BN317" s="83"/>
      <c r="BO317" s="83"/>
      <c r="BP317" s="83"/>
      <c r="BQ317" s="83"/>
      <c r="BR317" s="83"/>
      <c r="BS317" s="83"/>
      <c r="BT317" s="83"/>
      <c r="BU317" s="83"/>
    </row>
    <row r="318" spans="15:73"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  <c r="AE318" s="83"/>
      <c r="AF318" s="83"/>
      <c r="AG318" s="83"/>
      <c r="AH318" s="83"/>
      <c r="AI318" s="83"/>
      <c r="AJ318" s="83"/>
      <c r="AK318" s="83"/>
      <c r="AL318" s="83"/>
      <c r="AM318" s="83"/>
      <c r="AN318" s="83"/>
      <c r="AO318" s="83"/>
      <c r="AP318" s="83"/>
      <c r="AQ318" s="83"/>
      <c r="AR318" s="83"/>
      <c r="AS318" s="83"/>
      <c r="AT318" s="83"/>
      <c r="AU318" s="83"/>
      <c r="AV318" s="83"/>
      <c r="AW318" s="83"/>
      <c r="AX318" s="83"/>
      <c r="AY318" s="83"/>
      <c r="AZ318" s="83"/>
      <c r="BA318" s="83"/>
      <c r="BB318" s="83"/>
      <c r="BC318" s="83"/>
      <c r="BD318" s="83"/>
      <c r="BE318" s="83"/>
      <c r="BF318" s="83"/>
      <c r="BG318" s="83"/>
      <c r="BH318" s="83"/>
      <c r="BI318" s="83"/>
      <c r="BJ318" s="83"/>
      <c r="BK318" s="83"/>
      <c r="BL318" s="83"/>
      <c r="BM318" s="83"/>
      <c r="BN318" s="83"/>
      <c r="BO318" s="83"/>
      <c r="BP318" s="83"/>
      <c r="BQ318" s="83"/>
      <c r="BR318" s="83"/>
      <c r="BS318" s="83"/>
      <c r="BT318" s="83"/>
      <c r="BU318" s="83"/>
    </row>
    <row r="319" spans="15:73"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  <c r="AV319" s="83"/>
      <c r="AW319" s="83"/>
      <c r="AX319" s="83"/>
      <c r="AY319" s="83"/>
      <c r="AZ319" s="83"/>
      <c r="BA319" s="83"/>
      <c r="BB319" s="83"/>
      <c r="BC319" s="83"/>
      <c r="BD319" s="83"/>
      <c r="BE319" s="83"/>
      <c r="BF319" s="83"/>
      <c r="BG319" s="83"/>
      <c r="BH319" s="83"/>
      <c r="BI319" s="83"/>
      <c r="BJ319" s="83"/>
      <c r="BK319" s="83"/>
      <c r="BL319" s="83"/>
      <c r="BM319" s="83"/>
      <c r="BN319" s="83"/>
      <c r="BO319" s="83"/>
      <c r="BP319" s="83"/>
      <c r="BQ319" s="83"/>
      <c r="BR319" s="83"/>
      <c r="BS319" s="83"/>
      <c r="BT319" s="83"/>
      <c r="BU319" s="83"/>
    </row>
    <row r="320" spans="15:73"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  <c r="AV320" s="83"/>
      <c r="AW320" s="83"/>
      <c r="AX320" s="83"/>
      <c r="AY320" s="83"/>
      <c r="AZ320" s="83"/>
      <c r="BA320" s="83"/>
      <c r="BB320" s="83"/>
      <c r="BC320" s="83"/>
      <c r="BD320" s="83"/>
      <c r="BE320" s="83"/>
      <c r="BF320" s="83"/>
      <c r="BG320" s="83"/>
      <c r="BH320" s="83"/>
      <c r="BI320" s="83"/>
      <c r="BJ320" s="83"/>
      <c r="BK320" s="83"/>
      <c r="BL320" s="83"/>
      <c r="BM320" s="83"/>
      <c r="BN320" s="83"/>
      <c r="BO320" s="83"/>
      <c r="BP320" s="83"/>
      <c r="BQ320" s="83"/>
      <c r="BR320" s="83"/>
      <c r="BS320" s="83"/>
      <c r="BT320" s="83"/>
      <c r="BU320" s="83"/>
    </row>
    <row r="321" spans="15:73"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  <c r="AV321" s="83"/>
      <c r="AW321" s="83"/>
      <c r="AX321" s="83"/>
      <c r="AY321" s="83"/>
      <c r="AZ321" s="83"/>
      <c r="BA321" s="83"/>
      <c r="BB321" s="83"/>
      <c r="BC321" s="83"/>
      <c r="BD321" s="83"/>
      <c r="BE321" s="83"/>
      <c r="BF321" s="83"/>
      <c r="BG321" s="83"/>
      <c r="BH321" s="83"/>
      <c r="BI321" s="83"/>
      <c r="BJ321" s="83"/>
      <c r="BK321" s="83"/>
      <c r="BL321" s="83"/>
      <c r="BM321" s="83"/>
      <c r="BN321" s="83"/>
      <c r="BO321" s="83"/>
      <c r="BP321" s="83"/>
      <c r="BQ321" s="83"/>
      <c r="BR321" s="83"/>
      <c r="BS321" s="83"/>
      <c r="BT321" s="83"/>
      <c r="BU321" s="83"/>
    </row>
    <row r="322" spans="15:73"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  <c r="AA322" s="83"/>
      <c r="AB322" s="83"/>
      <c r="AC322" s="83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  <c r="AV322" s="83"/>
      <c r="AW322" s="83"/>
      <c r="AX322" s="83"/>
      <c r="AY322" s="83"/>
      <c r="AZ322" s="83"/>
      <c r="BA322" s="83"/>
      <c r="BB322" s="83"/>
      <c r="BC322" s="83"/>
      <c r="BD322" s="83"/>
      <c r="BE322" s="83"/>
      <c r="BF322" s="83"/>
      <c r="BG322" s="83"/>
      <c r="BH322" s="83"/>
      <c r="BI322" s="83"/>
      <c r="BJ322" s="83"/>
      <c r="BK322" s="83"/>
      <c r="BL322" s="83"/>
      <c r="BM322" s="83"/>
      <c r="BN322" s="83"/>
      <c r="BO322" s="83"/>
      <c r="BP322" s="83"/>
      <c r="BQ322" s="83"/>
      <c r="BR322" s="83"/>
      <c r="BS322" s="83"/>
      <c r="BT322" s="83"/>
      <c r="BU322" s="83"/>
    </row>
    <row r="323" spans="15:73"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  <c r="BB323" s="83"/>
      <c r="BC323" s="83"/>
      <c r="BD323" s="83"/>
      <c r="BE323" s="83"/>
      <c r="BF323" s="83"/>
      <c r="BG323" s="83"/>
      <c r="BH323" s="83"/>
      <c r="BI323" s="83"/>
      <c r="BJ323" s="83"/>
      <c r="BK323" s="83"/>
      <c r="BL323" s="83"/>
      <c r="BM323" s="83"/>
      <c r="BN323" s="83"/>
      <c r="BO323" s="83"/>
      <c r="BP323" s="83"/>
      <c r="BQ323" s="83"/>
      <c r="BR323" s="83"/>
      <c r="BS323" s="83"/>
      <c r="BT323" s="83"/>
      <c r="BU323" s="83"/>
    </row>
    <row r="324" spans="15:73"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  <c r="AA324" s="83"/>
      <c r="AB324" s="83"/>
      <c r="AC324" s="83"/>
      <c r="AD324" s="83"/>
      <c r="AE324" s="83"/>
      <c r="AF324" s="83"/>
      <c r="AG324" s="83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  <c r="AV324" s="83"/>
      <c r="AW324" s="83"/>
      <c r="AX324" s="83"/>
      <c r="AY324" s="83"/>
      <c r="AZ324" s="83"/>
      <c r="BA324" s="83"/>
      <c r="BB324" s="83"/>
      <c r="BC324" s="83"/>
      <c r="BD324" s="83"/>
      <c r="BE324" s="83"/>
      <c r="BF324" s="83"/>
      <c r="BG324" s="83"/>
      <c r="BH324" s="83"/>
      <c r="BI324" s="83"/>
      <c r="BJ324" s="83"/>
      <c r="BK324" s="83"/>
      <c r="BL324" s="83"/>
      <c r="BM324" s="83"/>
      <c r="BN324" s="83"/>
      <c r="BO324" s="83"/>
      <c r="BP324" s="83"/>
      <c r="BQ324" s="83"/>
      <c r="BR324" s="83"/>
      <c r="BS324" s="83"/>
      <c r="BT324" s="83"/>
      <c r="BU324" s="83"/>
    </row>
    <row r="325" spans="15:73"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  <c r="AA325" s="83"/>
      <c r="AB325" s="83"/>
      <c r="AC325" s="83"/>
      <c r="AD325" s="83"/>
      <c r="AE325" s="83"/>
      <c r="AF325" s="83"/>
      <c r="AG325" s="83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  <c r="AV325" s="83"/>
      <c r="AW325" s="83"/>
      <c r="AX325" s="83"/>
      <c r="AY325" s="83"/>
      <c r="AZ325" s="83"/>
      <c r="BA325" s="83"/>
      <c r="BB325" s="83"/>
      <c r="BC325" s="83"/>
      <c r="BD325" s="83"/>
      <c r="BE325" s="83"/>
      <c r="BF325" s="83"/>
      <c r="BG325" s="83"/>
      <c r="BH325" s="83"/>
      <c r="BI325" s="83"/>
      <c r="BJ325" s="83"/>
      <c r="BK325" s="83"/>
      <c r="BL325" s="83"/>
      <c r="BM325" s="83"/>
      <c r="BN325" s="83"/>
      <c r="BO325" s="83"/>
      <c r="BP325" s="83"/>
      <c r="BQ325" s="83"/>
      <c r="BR325" s="83"/>
      <c r="BS325" s="83"/>
      <c r="BT325" s="83"/>
      <c r="BU325" s="83"/>
    </row>
    <row r="326" spans="15:73"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  <c r="AA326" s="83"/>
      <c r="AB326" s="83"/>
      <c r="AC326" s="83"/>
      <c r="AD326" s="83"/>
      <c r="AE326" s="83"/>
      <c r="AF326" s="83"/>
      <c r="AG326" s="83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  <c r="AV326" s="83"/>
      <c r="AW326" s="83"/>
      <c r="AX326" s="83"/>
      <c r="AY326" s="83"/>
      <c r="AZ326" s="83"/>
      <c r="BA326" s="83"/>
      <c r="BB326" s="83"/>
      <c r="BC326" s="83"/>
      <c r="BD326" s="83"/>
      <c r="BE326" s="83"/>
      <c r="BF326" s="83"/>
      <c r="BG326" s="83"/>
      <c r="BH326" s="83"/>
      <c r="BI326" s="83"/>
      <c r="BJ326" s="83"/>
      <c r="BK326" s="83"/>
      <c r="BL326" s="83"/>
      <c r="BM326" s="83"/>
      <c r="BN326" s="83"/>
      <c r="BO326" s="83"/>
      <c r="BP326" s="83"/>
      <c r="BQ326" s="83"/>
      <c r="BR326" s="83"/>
      <c r="BS326" s="83"/>
      <c r="BT326" s="83"/>
      <c r="BU326" s="83"/>
    </row>
    <row r="327" spans="15:73"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  <c r="AA327" s="83"/>
      <c r="AB327" s="83"/>
      <c r="AC327" s="83"/>
      <c r="AD327" s="83"/>
      <c r="AE327" s="83"/>
      <c r="AF327" s="83"/>
      <c r="AG327" s="83"/>
      <c r="AH327" s="83"/>
      <c r="AI327" s="83"/>
      <c r="AJ327" s="83"/>
      <c r="AK327" s="83"/>
      <c r="AL327" s="83"/>
      <c r="AM327" s="83"/>
      <c r="AN327" s="83"/>
      <c r="AO327" s="83"/>
      <c r="AP327" s="83"/>
      <c r="AQ327" s="83"/>
      <c r="AR327" s="83"/>
      <c r="AS327" s="83"/>
      <c r="AT327" s="83"/>
      <c r="AU327" s="83"/>
      <c r="AV327" s="83"/>
      <c r="AW327" s="83"/>
      <c r="AX327" s="83"/>
      <c r="AY327" s="83"/>
      <c r="AZ327" s="83"/>
      <c r="BA327" s="83"/>
      <c r="BB327" s="83"/>
      <c r="BC327" s="83"/>
      <c r="BD327" s="83"/>
      <c r="BE327" s="83"/>
      <c r="BF327" s="83"/>
      <c r="BG327" s="83"/>
      <c r="BH327" s="83"/>
      <c r="BI327" s="83"/>
      <c r="BJ327" s="83"/>
      <c r="BK327" s="83"/>
      <c r="BL327" s="83"/>
      <c r="BM327" s="83"/>
      <c r="BN327" s="83"/>
      <c r="BO327" s="83"/>
      <c r="BP327" s="83"/>
      <c r="BQ327" s="83"/>
      <c r="BR327" s="83"/>
      <c r="BS327" s="83"/>
      <c r="BT327" s="83"/>
      <c r="BU327" s="83"/>
    </row>
    <row r="328" spans="15:73"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  <c r="AA328" s="83"/>
      <c r="AB328" s="83"/>
      <c r="AC328" s="83"/>
      <c r="AD328" s="83"/>
      <c r="AE328" s="83"/>
      <c r="AF328" s="83"/>
      <c r="AG328" s="83"/>
      <c r="AH328" s="83"/>
      <c r="AI328" s="83"/>
      <c r="AJ328" s="83"/>
      <c r="AK328" s="83"/>
      <c r="AL328" s="83"/>
      <c r="AM328" s="83"/>
      <c r="AN328" s="83"/>
      <c r="AO328" s="83"/>
      <c r="AP328" s="83"/>
      <c r="AQ328" s="83"/>
      <c r="AR328" s="83"/>
      <c r="AS328" s="83"/>
      <c r="AT328" s="83"/>
      <c r="AU328" s="83"/>
      <c r="AV328" s="83"/>
      <c r="AW328" s="83"/>
      <c r="AX328" s="83"/>
      <c r="AY328" s="83"/>
      <c r="AZ328" s="83"/>
      <c r="BA328" s="83"/>
      <c r="BB328" s="83"/>
      <c r="BC328" s="83"/>
      <c r="BD328" s="83"/>
      <c r="BE328" s="83"/>
      <c r="BF328" s="83"/>
      <c r="BG328" s="83"/>
      <c r="BH328" s="83"/>
      <c r="BI328" s="83"/>
      <c r="BJ328" s="83"/>
      <c r="BK328" s="83"/>
      <c r="BL328" s="83"/>
      <c r="BM328" s="83"/>
      <c r="BN328" s="83"/>
      <c r="BO328" s="83"/>
      <c r="BP328" s="83"/>
      <c r="BQ328" s="83"/>
      <c r="BR328" s="83"/>
      <c r="BS328" s="83"/>
      <c r="BT328" s="83"/>
      <c r="BU328" s="83"/>
    </row>
    <row r="329" spans="15:73"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3"/>
      <c r="AT329" s="83"/>
      <c r="AU329" s="83"/>
      <c r="AV329" s="83"/>
      <c r="AW329" s="83"/>
      <c r="AX329" s="83"/>
      <c r="AY329" s="83"/>
      <c r="AZ329" s="83"/>
      <c r="BA329" s="83"/>
      <c r="BB329" s="83"/>
      <c r="BC329" s="83"/>
      <c r="BD329" s="83"/>
      <c r="BE329" s="83"/>
      <c r="BF329" s="83"/>
      <c r="BG329" s="83"/>
      <c r="BH329" s="83"/>
      <c r="BI329" s="83"/>
      <c r="BJ329" s="83"/>
      <c r="BK329" s="83"/>
      <c r="BL329" s="83"/>
      <c r="BM329" s="83"/>
      <c r="BN329" s="83"/>
      <c r="BO329" s="83"/>
      <c r="BP329" s="83"/>
      <c r="BQ329" s="83"/>
      <c r="BR329" s="83"/>
      <c r="BS329" s="83"/>
      <c r="BT329" s="83"/>
      <c r="BU329" s="83"/>
    </row>
    <row r="330" spans="15:73"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  <c r="AN330" s="83"/>
      <c r="AO330" s="83"/>
      <c r="AP330" s="83"/>
      <c r="AQ330" s="83"/>
      <c r="AR330" s="83"/>
      <c r="AS330" s="83"/>
      <c r="AT330" s="83"/>
      <c r="AU330" s="83"/>
      <c r="AV330" s="83"/>
      <c r="AW330" s="83"/>
      <c r="AX330" s="83"/>
      <c r="AY330" s="83"/>
      <c r="AZ330" s="83"/>
      <c r="BA330" s="83"/>
      <c r="BB330" s="83"/>
      <c r="BC330" s="83"/>
      <c r="BD330" s="83"/>
      <c r="BE330" s="83"/>
      <c r="BF330" s="83"/>
      <c r="BG330" s="83"/>
      <c r="BH330" s="83"/>
      <c r="BI330" s="83"/>
      <c r="BJ330" s="83"/>
      <c r="BK330" s="83"/>
      <c r="BL330" s="83"/>
      <c r="BM330" s="83"/>
      <c r="BN330" s="83"/>
      <c r="BO330" s="83"/>
      <c r="BP330" s="83"/>
      <c r="BQ330" s="83"/>
      <c r="BR330" s="83"/>
      <c r="BS330" s="83"/>
      <c r="BT330" s="83"/>
      <c r="BU330" s="83"/>
    </row>
    <row r="331" spans="15:73"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  <c r="AE331" s="83"/>
      <c r="AF331" s="83"/>
      <c r="AG331" s="83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  <c r="BI331" s="83"/>
      <c r="BJ331" s="83"/>
      <c r="BK331" s="83"/>
      <c r="BL331" s="83"/>
      <c r="BM331" s="83"/>
      <c r="BN331" s="83"/>
      <c r="BO331" s="83"/>
      <c r="BP331" s="83"/>
      <c r="BQ331" s="83"/>
      <c r="BR331" s="83"/>
      <c r="BS331" s="83"/>
      <c r="BT331" s="83"/>
      <c r="BU331" s="83"/>
    </row>
    <row r="332" spans="15:73"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  <c r="BA332" s="83"/>
      <c r="BB332" s="83"/>
      <c r="BC332" s="83"/>
      <c r="BD332" s="83"/>
      <c r="BE332" s="83"/>
      <c r="BF332" s="83"/>
      <c r="BG332" s="83"/>
      <c r="BH332" s="83"/>
      <c r="BI332" s="83"/>
      <c r="BJ332" s="83"/>
      <c r="BK332" s="83"/>
      <c r="BL332" s="83"/>
      <c r="BM332" s="83"/>
      <c r="BN332" s="83"/>
      <c r="BO332" s="83"/>
      <c r="BP332" s="83"/>
      <c r="BQ332" s="83"/>
      <c r="BR332" s="83"/>
      <c r="BS332" s="83"/>
      <c r="BT332" s="83"/>
      <c r="BU332" s="83"/>
    </row>
    <row r="333" spans="15:73"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  <c r="BA333" s="83"/>
      <c r="BB333" s="83"/>
      <c r="BC333" s="83"/>
      <c r="BD333" s="83"/>
      <c r="BE333" s="83"/>
      <c r="BF333" s="83"/>
      <c r="BG333" s="83"/>
      <c r="BH333" s="83"/>
      <c r="BI333" s="83"/>
      <c r="BJ333" s="83"/>
      <c r="BK333" s="83"/>
      <c r="BL333" s="83"/>
      <c r="BM333" s="83"/>
      <c r="BN333" s="83"/>
      <c r="BO333" s="83"/>
      <c r="BP333" s="83"/>
      <c r="BQ333" s="83"/>
      <c r="BR333" s="83"/>
      <c r="BS333" s="83"/>
      <c r="BT333" s="83"/>
      <c r="BU333" s="83"/>
    </row>
    <row r="334" spans="15:73"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  <c r="BA334" s="83"/>
      <c r="BB334" s="83"/>
      <c r="BC334" s="83"/>
      <c r="BD334" s="83"/>
      <c r="BE334" s="83"/>
      <c r="BF334" s="83"/>
      <c r="BG334" s="83"/>
      <c r="BH334" s="83"/>
      <c r="BI334" s="83"/>
      <c r="BJ334" s="83"/>
      <c r="BK334" s="83"/>
      <c r="BL334" s="83"/>
      <c r="BM334" s="83"/>
      <c r="BN334" s="83"/>
      <c r="BO334" s="83"/>
      <c r="BP334" s="83"/>
      <c r="BQ334" s="83"/>
      <c r="BR334" s="83"/>
      <c r="BS334" s="83"/>
      <c r="BT334" s="83"/>
      <c r="BU334" s="83"/>
    </row>
    <row r="335" spans="15:73"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  <c r="BA335" s="83"/>
      <c r="BB335" s="83"/>
      <c r="BC335" s="83"/>
      <c r="BD335" s="83"/>
      <c r="BE335" s="83"/>
      <c r="BF335" s="83"/>
      <c r="BG335" s="83"/>
      <c r="BH335" s="83"/>
      <c r="BI335" s="83"/>
      <c r="BJ335" s="83"/>
      <c r="BK335" s="83"/>
      <c r="BL335" s="83"/>
      <c r="BM335" s="83"/>
      <c r="BN335" s="83"/>
      <c r="BO335" s="83"/>
      <c r="BP335" s="83"/>
      <c r="BQ335" s="83"/>
      <c r="BR335" s="83"/>
      <c r="BS335" s="83"/>
      <c r="BT335" s="83"/>
      <c r="BU335" s="83"/>
    </row>
    <row r="336" spans="15:73"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  <c r="BA336" s="83"/>
      <c r="BB336" s="83"/>
      <c r="BC336" s="83"/>
      <c r="BD336" s="83"/>
      <c r="BE336" s="83"/>
      <c r="BF336" s="83"/>
      <c r="BG336" s="83"/>
      <c r="BH336" s="83"/>
      <c r="BI336" s="83"/>
      <c r="BJ336" s="83"/>
      <c r="BK336" s="83"/>
      <c r="BL336" s="83"/>
      <c r="BM336" s="83"/>
      <c r="BN336" s="83"/>
      <c r="BO336" s="83"/>
      <c r="BP336" s="83"/>
      <c r="BQ336" s="83"/>
      <c r="BR336" s="83"/>
      <c r="BS336" s="83"/>
      <c r="BT336" s="83"/>
      <c r="BU336" s="83"/>
    </row>
    <row r="337" spans="15:73"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  <c r="BA337" s="83"/>
      <c r="BB337" s="83"/>
      <c r="BC337" s="83"/>
      <c r="BD337" s="83"/>
      <c r="BE337" s="83"/>
      <c r="BF337" s="83"/>
      <c r="BG337" s="83"/>
      <c r="BH337" s="83"/>
      <c r="BI337" s="83"/>
      <c r="BJ337" s="83"/>
      <c r="BK337" s="83"/>
      <c r="BL337" s="83"/>
      <c r="BM337" s="83"/>
      <c r="BN337" s="83"/>
      <c r="BO337" s="83"/>
      <c r="BP337" s="83"/>
      <c r="BQ337" s="83"/>
      <c r="BR337" s="83"/>
      <c r="BS337" s="83"/>
      <c r="BT337" s="83"/>
      <c r="BU337" s="83"/>
    </row>
    <row r="338" spans="15:73"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  <c r="BA338" s="83"/>
      <c r="BB338" s="83"/>
      <c r="BC338" s="83"/>
      <c r="BD338" s="83"/>
      <c r="BE338" s="83"/>
      <c r="BF338" s="83"/>
      <c r="BG338" s="83"/>
      <c r="BH338" s="83"/>
      <c r="BI338" s="83"/>
      <c r="BJ338" s="83"/>
      <c r="BK338" s="83"/>
      <c r="BL338" s="83"/>
      <c r="BM338" s="83"/>
      <c r="BN338" s="83"/>
      <c r="BO338" s="83"/>
      <c r="BP338" s="83"/>
      <c r="BQ338" s="83"/>
      <c r="BR338" s="83"/>
      <c r="BS338" s="83"/>
      <c r="BT338" s="83"/>
      <c r="BU338" s="83"/>
    </row>
    <row r="339" spans="15:73"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  <c r="AN339" s="83"/>
      <c r="AO339" s="83"/>
      <c r="AP339" s="83"/>
      <c r="AQ339" s="83"/>
      <c r="AR339" s="83"/>
      <c r="AS339" s="83"/>
      <c r="AT339" s="83"/>
      <c r="AU339" s="83"/>
      <c r="AV339" s="83"/>
      <c r="AW339" s="83"/>
      <c r="AX339" s="83"/>
      <c r="AY339" s="83"/>
      <c r="AZ339" s="83"/>
      <c r="BA339" s="83"/>
      <c r="BB339" s="83"/>
      <c r="BC339" s="83"/>
      <c r="BD339" s="83"/>
      <c r="BE339" s="83"/>
      <c r="BF339" s="83"/>
      <c r="BG339" s="83"/>
      <c r="BH339" s="83"/>
      <c r="BI339" s="83"/>
      <c r="BJ339" s="83"/>
      <c r="BK339" s="83"/>
      <c r="BL339" s="83"/>
      <c r="BM339" s="83"/>
      <c r="BN339" s="83"/>
      <c r="BO339" s="83"/>
      <c r="BP339" s="83"/>
      <c r="BQ339" s="83"/>
      <c r="BR339" s="83"/>
      <c r="BS339" s="83"/>
      <c r="BT339" s="83"/>
      <c r="BU339" s="83"/>
    </row>
    <row r="340" spans="15:73"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/>
      <c r="AY340" s="83"/>
      <c r="AZ340" s="83"/>
      <c r="BA340" s="83"/>
      <c r="BB340" s="83"/>
      <c r="BC340" s="83"/>
      <c r="BD340" s="83"/>
      <c r="BE340" s="83"/>
      <c r="BF340" s="83"/>
      <c r="BG340" s="83"/>
      <c r="BH340" s="83"/>
      <c r="BI340" s="83"/>
      <c r="BJ340" s="83"/>
      <c r="BK340" s="83"/>
      <c r="BL340" s="83"/>
      <c r="BM340" s="83"/>
      <c r="BN340" s="83"/>
      <c r="BO340" s="83"/>
      <c r="BP340" s="83"/>
      <c r="BQ340" s="83"/>
      <c r="BR340" s="83"/>
      <c r="BS340" s="83"/>
      <c r="BT340" s="83"/>
      <c r="BU340" s="83"/>
    </row>
    <row r="341" spans="15:73"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  <c r="AA341" s="83"/>
      <c r="AB341" s="83"/>
      <c r="AC341" s="83"/>
      <c r="AD341" s="83"/>
      <c r="AE341" s="83"/>
      <c r="AF341" s="83"/>
      <c r="AG341" s="83"/>
      <c r="AH341" s="83"/>
      <c r="AI341" s="83"/>
      <c r="AJ341" s="83"/>
      <c r="AK341" s="83"/>
      <c r="AL341" s="83"/>
      <c r="AM341" s="83"/>
      <c r="AN341" s="83"/>
      <c r="AO341" s="83"/>
      <c r="AP341" s="83"/>
      <c r="AQ341" s="83"/>
      <c r="AR341" s="83"/>
      <c r="AS341" s="83"/>
      <c r="AT341" s="83"/>
      <c r="AU341" s="83"/>
      <c r="AV341" s="83"/>
      <c r="AW341" s="83"/>
      <c r="AX341" s="83"/>
      <c r="AY341" s="83"/>
      <c r="AZ341" s="83"/>
      <c r="BA341" s="83"/>
      <c r="BB341" s="83"/>
      <c r="BC341" s="83"/>
      <c r="BD341" s="83"/>
      <c r="BE341" s="83"/>
      <c r="BF341" s="83"/>
      <c r="BG341" s="83"/>
      <c r="BH341" s="83"/>
      <c r="BI341" s="83"/>
      <c r="BJ341" s="83"/>
      <c r="BK341" s="83"/>
      <c r="BL341" s="83"/>
      <c r="BM341" s="83"/>
      <c r="BN341" s="83"/>
      <c r="BO341" s="83"/>
      <c r="BP341" s="83"/>
      <c r="BQ341" s="83"/>
      <c r="BR341" s="83"/>
      <c r="BS341" s="83"/>
      <c r="BT341" s="83"/>
      <c r="BU341" s="83"/>
    </row>
    <row r="342" spans="15:73"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3"/>
      <c r="AF342" s="83"/>
      <c r="AG342" s="83"/>
      <c r="AH342" s="83"/>
      <c r="AI342" s="83"/>
      <c r="AJ342" s="83"/>
      <c r="AK342" s="83"/>
      <c r="AL342" s="83"/>
      <c r="AM342" s="83"/>
      <c r="AN342" s="83"/>
      <c r="AO342" s="83"/>
      <c r="AP342" s="83"/>
      <c r="AQ342" s="83"/>
      <c r="AR342" s="83"/>
      <c r="AS342" s="83"/>
      <c r="AT342" s="83"/>
      <c r="AU342" s="83"/>
      <c r="AV342" s="83"/>
      <c r="AW342" s="83"/>
      <c r="AX342" s="83"/>
      <c r="AY342" s="83"/>
      <c r="AZ342" s="83"/>
      <c r="BA342" s="83"/>
      <c r="BB342" s="83"/>
      <c r="BC342" s="83"/>
      <c r="BD342" s="83"/>
      <c r="BE342" s="83"/>
      <c r="BF342" s="83"/>
      <c r="BG342" s="83"/>
      <c r="BH342" s="83"/>
      <c r="BI342" s="83"/>
      <c r="BJ342" s="83"/>
      <c r="BK342" s="83"/>
      <c r="BL342" s="83"/>
      <c r="BM342" s="83"/>
      <c r="BN342" s="83"/>
      <c r="BO342" s="83"/>
      <c r="BP342" s="83"/>
      <c r="BQ342" s="83"/>
      <c r="BR342" s="83"/>
      <c r="BS342" s="83"/>
      <c r="BT342" s="83"/>
      <c r="BU342" s="83"/>
    </row>
    <row r="343" spans="15:73"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/>
      <c r="AM343" s="83"/>
      <c r="AN343" s="83"/>
      <c r="AO343" s="83"/>
      <c r="AP343" s="83"/>
      <c r="AQ343" s="83"/>
      <c r="AR343" s="83"/>
      <c r="AS343" s="83"/>
      <c r="AT343" s="83"/>
      <c r="AU343" s="83"/>
      <c r="AV343" s="83"/>
      <c r="AW343" s="83"/>
      <c r="AX343" s="83"/>
      <c r="AY343" s="83"/>
      <c r="AZ343" s="83"/>
      <c r="BA343" s="83"/>
      <c r="BB343" s="83"/>
      <c r="BC343" s="83"/>
      <c r="BD343" s="83"/>
      <c r="BE343" s="83"/>
      <c r="BF343" s="83"/>
      <c r="BG343" s="83"/>
      <c r="BH343" s="83"/>
      <c r="BI343" s="83"/>
      <c r="BJ343" s="83"/>
      <c r="BK343" s="83"/>
      <c r="BL343" s="83"/>
      <c r="BM343" s="83"/>
      <c r="BN343" s="83"/>
      <c r="BO343" s="83"/>
      <c r="BP343" s="83"/>
      <c r="BQ343" s="83"/>
      <c r="BR343" s="83"/>
      <c r="BS343" s="83"/>
      <c r="BT343" s="83"/>
      <c r="BU343" s="83"/>
    </row>
    <row r="344" spans="15:73"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  <c r="AN344" s="83"/>
      <c r="AO344" s="83"/>
      <c r="AP344" s="83"/>
      <c r="AQ344" s="83"/>
      <c r="AR344" s="83"/>
      <c r="AS344" s="83"/>
      <c r="AT344" s="83"/>
      <c r="AU344" s="83"/>
      <c r="AV344" s="83"/>
      <c r="AW344" s="83"/>
      <c r="AX344" s="83"/>
      <c r="AY344" s="83"/>
      <c r="AZ344" s="83"/>
      <c r="BA344" s="83"/>
      <c r="BB344" s="83"/>
      <c r="BC344" s="83"/>
      <c r="BD344" s="83"/>
      <c r="BE344" s="83"/>
      <c r="BF344" s="83"/>
      <c r="BG344" s="83"/>
      <c r="BH344" s="83"/>
      <c r="BI344" s="83"/>
      <c r="BJ344" s="83"/>
      <c r="BK344" s="83"/>
      <c r="BL344" s="83"/>
      <c r="BM344" s="83"/>
      <c r="BN344" s="83"/>
      <c r="BO344" s="83"/>
      <c r="BP344" s="83"/>
      <c r="BQ344" s="83"/>
      <c r="BR344" s="83"/>
      <c r="BS344" s="83"/>
      <c r="BT344" s="83"/>
      <c r="BU344" s="83"/>
    </row>
    <row r="345" spans="15:73"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  <c r="AA345" s="83"/>
      <c r="AB345" s="83"/>
      <c r="AC345" s="83"/>
      <c r="AD345" s="83"/>
      <c r="AE345" s="83"/>
      <c r="AF345" s="83"/>
      <c r="AG345" s="83"/>
      <c r="AH345" s="83"/>
      <c r="AI345" s="83"/>
      <c r="AJ345" s="83"/>
      <c r="AK345" s="83"/>
      <c r="AL345" s="83"/>
      <c r="AM345" s="83"/>
      <c r="AN345" s="83"/>
      <c r="AO345" s="83"/>
      <c r="AP345" s="83"/>
      <c r="AQ345" s="83"/>
      <c r="AR345" s="83"/>
      <c r="AS345" s="83"/>
      <c r="AT345" s="83"/>
      <c r="AU345" s="83"/>
      <c r="AV345" s="83"/>
      <c r="AW345" s="83"/>
      <c r="AX345" s="83"/>
      <c r="AY345" s="83"/>
      <c r="AZ345" s="83"/>
      <c r="BA345" s="83"/>
      <c r="BB345" s="83"/>
      <c r="BC345" s="83"/>
      <c r="BD345" s="83"/>
      <c r="BE345" s="83"/>
      <c r="BF345" s="83"/>
      <c r="BG345" s="83"/>
      <c r="BH345" s="83"/>
      <c r="BI345" s="83"/>
      <c r="BJ345" s="83"/>
      <c r="BK345" s="83"/>
      <c r="BL345" s="83"/>
      <c r="BM345" s="83"/>
      <c r="BN345" s="83"/>
      <c r="BO345" s="83"/>
      <c r="BP345" s="83"/>
      <c r="BQ345" s="83"/>
      <c r="BR345" s="83"/>
      <c r="BS345" s="83"/>
      <c r="BT345" s="83"/>
      <c r="BU345" s="83"/>
    </row>
    <row r="346" spans="15:73"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  <c r="AV346" s="83"/>
      <c r="AW346" s="83"/>
      <c r="AX346" s="83"/>
      <c r="AY346" s="83"/>
      <c r="AZ346" s="83"/>
      <c r="BA346" s="83"/>
      <c r="BB346" s="83"/>
      <c r="BC346" s="83"/>
      <c r="BD346" s="83"/>
      <c r="BE346" s="83"/>
      <c r="BF346" s="83"/>
      <c r="BG346" s="83"/>
      <c r="BH346" s="83"/>
      <c r="BI346" s="83"/>
      <c r="BJ346" s="83"/>
      <c r="BK346" s="83"/>
      <c r="BL346" s="83"/>
      <c r="BM346" s="83"/>
      <c r="BN346" s="83"/>
      <c r="BO346" s="83"/>
      <c r="BP346" s="83"/>
      <c r="BQ346" s="83"/>
      <c r="BR346" s="83"/>
      <c r="BS346" s="83"/>
      <c r="BT346" s="83"/>
      <c r="BU346" s="83"/>
    </row>
    <row r="347" spans="15:73"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  <c r="BA347" s="83"/>
      <c r="BB347" s="83"/>
      <c r="BC347" s="83"/>
      <c r="BD347" s="83"/>
      <c r="BE347" s="83"/>
      <c r="BF347" s="83"/>
      <c r="BG347" s="83"/>
      <c r="BH347" s="83"/>
      <c r="BI347" s="83"/>
      <c r="BJ347" s="83"/>
      <c r="BK347" s="83"/>
      <c r="BL347" s="83"/>
      <c r="BM347" s="83"/>
      <c r="BN347" s="83"/>
      <c r="BO347" s="83"/>
      <c r="BP347" s="83"/>
      <c r="BQ347" s="83"/>
      <c r="BR347" s="83"/>
      <c r="BS347" s="83"/>
      <c r="BT347" s="83"/>
      <c r="BU347" s="83"/>
    </row>
    <row r="348" spans="15:73"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  <c r="BA348" s="83"/>
      <c r="BB348" s="83"/>
      <c r="BC348" s="83"/>
      <c r="BD348" s="83"/>
      <c r="BE348" s="83"/>
      <c r="BF348" s="83"/>
      <c r="BG348" s="83"/>
      <c r="BH348" s="83"/>
      <c r="BI348" s="83"/>
      <c r="BJ348" s="83"/>
      <c r="BK348" s="83"/>
      <c r="BL348" s="83"/>
      <c r="BM348" s="83"/>
      <c r="BN348" s="83"/>
      <c r="BO348" s="83"/>
      <c r="BP348" s="83"/>
      <c r="BQ348" s="83"/>
      <c r="BR348" s="83"/>
      <c r="BS348" s="83"/>
      <c r="BT348" s="83"/>
      <c r="BU348" s="83"/>
    </row>
    <row r="349" spans="15:73"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  <c r="AN349" s="83"/>
      <c r="AO349" s="83"/>
      <c r="AP349" s="83"/>
      <c r="AQ349" s="83"/>
      <c r="AR349" s="83"/>
      <c r="AS349" s="83"/>
      <c r="AT349" s="83"/>
      <c r="AU349" s="83"/>
      <c r="AV349" s="83"/>
      <c r="AW349" s="83"/>
      <c r="AX349" s="83"/>
      <c r="AY349" s="83"/>
      <c r="AZ349" s="83"/>
      <c r="BA349" s="83"/>
      <c r="BB349" s="83"/>
      <c r="BC349" s="83"/>
      <c r="BD349" s="83"/>
      <c r="BE349" s="83"/>
      <c r="BF349" s="83"/>
      <c r="BG349" s="83"/>
      <c r="BH349" s="83"/>
      <c r="BI349" s="83"/>
      <c r="BJ349" s="83"/>
      <c r="BK349" s="83"/>
      <c r="BL349" s="83"/>
      <c r="BM349" s="83"/>
      <c r="BN349" s="83"/>
      <c r="BO349" s="83"/>
      <c r="BP349" s="83"/>
      <c r="BQ349" s="83"/>
      <c r="BR349" s="83"/>
      <c r="BS349" s="83"/>
      <c r="BT349" s="83"/>
      <c r="BU349" s="83"/>
    </row>
    <row r="350" spans="15:73"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  <c r="AA350" s="83"/>
      <c r="AB350" s="83"/>
      <c r="AC350" s="83"/>
      <c r="AD350" s="83"/>
      <c r="AE350" s="83"/>
      <c r="AF350" s="83"/>
      <c r="AG350" s="83"/>
      <c r="AH350" s="83"/>
      <c r="AI350" s="83"/>
      <c r="AJ350" s="83"/>
      <c r="AK350" s="83"/>
      <c r="AL350" s="83"/>
      <c r="AM350" s="83"/>
      <c r="AN350" s="83"/>
      <c r="AO350" s="83"/>
      <c r="AP350" s="83"/>
      <c r="AQ350" s="83"/>
      <c r="AR350" s="83"/>
      <c r="AS350" s="83"/>
      <c r="AT350" s="83"/>
      <c r="AU350" s="83"/>
      <c r="AV350" s="83"/>
      <c r="AW350" s="83"/>
      <c r="AX350" s="83"/>
      <c r="AY350" s="83"/>
      <c r="AZ350" s="83"/>
      <c r="BA350" s="83"/>
      <c r="BB350" s="83"/>
      <c r="BC350" s="83"/>
      <c r="BD350" s="83"/>
      <c r="BE350" s="83"/>
      <c r="BF350" s="83"/>
      <c r="BG350" s="83"/>
      <c r="BH350" s="83"/>
      <c r="BI350" s="83"/>
      <c r="BJ350" s="83"/>
      <c r="BK350" s="83"/>
      <c r="BL350" s="83"/>
      <c r="BM350" s="83"/>
      <c r="BN350" s="83"/>
      <c r="BO350" s="83"/>
      <c r="BP350" s="83"/>
      <c r="BQ350" s="83"/>
      <c r="BR350" s="83"/>
      <c r="BS350" s="83"/>
      <c r="BT350" s="83"/>
      <c r="BU350" s="83"/>
    </row>
    <row r="351" spans="15:73"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  <c r="AA351" s="83"/>
      <c r="AB351" s="83"/>
      <c r="AC351" s="83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  <c r="AN351" s="83"/>
      <c r="AO351" s="83"/>
      <c r="AP351" s="83"/>
      <c r="AQ351" s="83"/>
      <c r="AR351" s="83"/>
      <c r="AS351" s="83"/>
      <c r="AT351" s="83"/>
      <c r="AU351" s="83"/>
      <c r="AV351" s="83"/>
      <c r="AW351" s="83"/>
      <c r="AX351" s="83"/>
      <c r="AY351" s="83"/>
      <c r="AZ351" s="83"/>
      <c r="BA351" s="83"/>
      <c r="BB351" s="83"/>
      <c r="BC351" s="83"/>
      <c r="BD351" s="83"/>
      <c r="BE351" s="83"/>
      <c r="BF351" s="83"/>
      <c r="BG351" s="83"/>
      <c r="BH351" s="83"/>
      <c r="BI351" s="83"/>
      <c r="BJ351" s="83"/>
      <c r="BK351" s="83"/>
      <c r="BL351" s="83"/>
      <c r="BM351" s="83"/>
      <c r="BN351" s="83"/>
      <c r="BO351" s="83"/>
      <c r="BP351" s="83"/>
      <c r="BQ351" s="83"/>
      <c r="BR351" s="83"/>
      <c r="BS351" s="83"/>
      <c r="BT351" s="83"/>
      <c r="BU351" s="83"/>
    </row>
    <row r="352" spans="15:73"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  <c r="AN352" s="83"/>
      <c r="AO352" s="83"/>
      <c r="AP352" s="83"/>
      <c r="AQ352" s="83"/>
      <c r="AR352" s="83"/>
      <c r="AS352" s="83"/>
      <c r="AT352" s="83"/>
      <c r="AU352" s="83"/>
      <c r="AV352" s="83"/>
      <c r="AW352" s="83"/>
      <c r="AX352" s="83"/>
      <c r="AY352" s="83"/>
      <c r="AZ352" s="83"/>
      <c r="BA352" s="83"/>
      <c r="BB352" s="83"/>
      <c r="BC352" s="83"/>
      <c r="BD352" s="83"/>
      <c r="BE352" s="83"/>
      <c r="BF352" s="83"/>
      <c r="BG352" s="83"/>
      <c r="BH352" s="83"/>
      <c r="BI352" s="83"/>
      <c r="BJ352" s="83"/>
      <c r="BK352" s="83"/>
      <c r="BL352" s="83"/>
      <c r="BM352" s="83"/>
      <c r="BN352" s="83"/>
      <c r="BO352" s="83"/>
      <c r="BP352" s="83"/>
      <c r="BQ352" s="83"/>
      <c r="BR352" s="83"/>
      <c r="BS352" s="83"/>
      <c r="BT352" s="83"/>
      <c r="BU352" s="83"/>
    </row>
    <row r="353" spans="15:73"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  <c r="AE353" s="83"/>
      <c r="AF353" s="83"/>
      <c r="AG353" s="83"/>
      <c r="AH353" s="83"/>
      <c r="AI353" s="83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  <c r="AV353" s="83"/>
      <c r="AW353" s="83"/>
      <c r="AX353" s="83"/>
      <c r="AY353" s="83"/>
      <c r="AZ353" s="83"/>
      <c r="BA353" s="83"/>
      <c r="BB353" s="83"/>
      <c r="BC353" s="83"/>
      <c r="BD353" s="83"/>
      <c r="BE353" s="83"/>
      <c r="BF353" s="83"/>
      <c r="BG353" s="83"/>
      <c r="BH353" s="83"/>
      <c r="BI353" s="83"/>
      <c r="BJ353" s="83"/>
      <c r="BK353" s="83"/>
      <c r="BL353" s="83"/>
      <c r="BM353" s="83"/>
      <c r="BN353" s="83"/>
      <c r="BO353" s="83"/>
      <c r="BP353" s="83"/>
      <c r="BQ353" s="83"/>
      <c r="BR353" s="83"/>
      <c r="BS353" s="83"/>
      <c r="BT353" s="83"/>
      <c r="BU353" s="83"/>
    </row>
    <row r="354" spans="15:73"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3"/>
      <c r="AF354" s="83"/>
      <c r="AG354" s="83"/>
      <c r="AH354" s="83"/>
      <c r="AI354" s="83"/>
      <c r="AJ354" s="83"/>
      <c r="AK354" s="83"/>
      <c r="AL354" s="83"/>
      <c r="AM354" s="83"/>
      <c r="AN354" s="83"/>
      <c r="AO354" s="83"/>
      <c r="AP354" s="83"/>
      <c r="AQ354" s="83"/>
      <c r="AR354" s="83"/>
      <c r="AS354" s="83"/>
      <c r="AT354" s="83"/>
      <c r="AU354" s="83"/>
      <c r="AV354" s="83"/>
      <c r="AW354" s="83"/>
      <c r="AX354" s="83"/>
      <c r="AY354" s="83"/>
      <c r="AZ354" s="83"/>
      <c r="BA354" s="83"/>
      <c r="BB354" s="83"/>
      <c r="BC354" s="83"/>
      <c r="BD354" s="83"/>
      <c r="BE354" s="83"/>
      <c r="BF354" s="83"/>
      <c r="BG354" s="83"/>
      <c r="BH354" s="83"/>
      <c r="BI354" s="83"/>
      <c r="BJ354" s="83"/>
      <c r="BK354" s="83"/>
      <c r="BL354" s="83"/>
      <c r="BM354" s="83"/>
      <c r="BN354" s="83"/>
      <c r="BO354" s="83"/>
      <c r="BP354" s="83"/>
      <c r="BQ354" s="83"/>
      <c r="BR354" s="83"/>
      <c r="BS354" s="83"/>
      <c r="BT354" s="83"/>
      <c r="BU354" s="83"/>
    </row>
    <row r="355" spans="15:73"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  <c r="BA355" s="83"/>
      <c r="BB355" s="83"/>
      <c r="BC355" s="83"/>
      <c r="BD355" s="83"/>
      <c r="BE355" s="83"/>
      <c r="BF355" s="83"/>
      <c r="BG355" s="83"/>
      <c r="BH355" s="83"/>
      <c r="BI355" s="83"/>
      <c r="BJ355" s="83"/>
      <c r="BK355" s="83"/>
      <c r="BL355" s="83"/>
      <c r="BM355" s="83"/>
      <c r="BN355" s="83"/>
      <c r="BO355" s="83"/>
      <c r="BP355" s="83"/>
      <c r="BQ355" s="83"/>
      <c r="BR355" s="83"/>
      <c r="BS355" s="83"/>
      <c r="BT355" s="83"/>
      <c r="BU355" s="83"/>
    </row>
    <row r="356" spans="15:73"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  <c r="AA356" s="83"/>
      <c r="AB356" s="83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  <c r="BA356" s="83"/>
      <c r="BB356" s="83"/>
      <c r="BC356" s="83"/>
      <c r="BD356" s="83"/>
      <c r="BE356" s="83"/>
      <c r="BF356" s="83"/>
      <c r="BG356" s="83"/>
      <c r="BH356" s="83"/>
      <c r="BI356" s="83"/>
      <c r="BJ356" s="83"/>
      <c r="BK356" s="83"/>
      <c r="BL356" s="83"/>
      <c r="BM356" s="83"/>
      <c r="BN356" s="83"/>
      <c r="BO356" s="83"/>
      <c r="BP356" s="83"/>
      <c r="BQ356" s="83"/>
      <c r="BR356" s="83"/>
      <c r="BS356" s="83"/>
      <c r="BT356" s="83"/>
      <c r="BU356" s="83"/>
    </row>
    <row r="357" spans="15:73"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  <c r="AF357" s="83"/>
      <c r="AG357" s="83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  <c r="AV357" s="83"/>
      <c r="AW357" s="83"/>
      <c r="AX357" s="83"/>
      <c r="AY357" s="83"/>
      <c r="AZ357" s="83"/>
      <c r="BA357" s="83"/>
      <c r="BB357" s="83"/>
      <c r="BC357" s="83"/>
      <c r="BD357" s="83"/>
      <c r="BE357" s="83"/>
      <c r="BF357" s="83"/>
      <c r="BG357" s="83"/>
      <c r="BH357" s="83"/>
      <c r="BI357" s="83"/>
      <c r="BJ357" s="83"/>
      <c r="BK357" s="83"/>
      <c r="BL357" s="83"/>
      <c r="BM357" s="83"/>
      <c r="BN357" s="83"/>
      <c r="BO357" s="83"/>
      <c r="BP357" s="83"/>
      <c r="BQ357" s="83"/>
      <c r="BR357" s="83"/>
      <c r="BS357" s="83"/>
      <c r="BT357" s="83"/>
      <c r="BU357" s="83"/>
    </row>
    <row r="358" spans="15:73"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  <c r="BA358" s="83"/>
      <c r="BB358" s="83"/>
      <c r="BC358" s="83"/>
      <c r="BD358" s="83"/>
      <c r="BE358" s="83"/>
      <c r="BF358" s="83"/>
      <c r="BG358" s="83"/>
      <c r="BH358" s="83"/>
      <c r="BI358" s="83"/>
      <c r="BJ358" s="83"/>
      <c r="BK358" s="83"/>
      <c r="BL358" s="83"/>
      <c r="BM358" s="83"/>
      <c r="BN358" s="83"/>
      <c r="BO358" s="83"/>
      <c r="BP358" s="83"/>
      <c r="BQ358" s="83"/>
      <c r="BR358" s="83"/>
      <c r="BS358" s="83"/>
      <c r="BT358" s="83"/>
      <c r="BU358" s="83"/>
    </row>
    <row r="359" spans="15:73"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  <c r="AV359" s="83"/>
      <c r="AW359" s="83"/>
      <c r="AX359" s="83"/>
      <c r="AY359" s="83"/>
      <c r="AZ359" s="83"/>
      <c r="BA359" s="83"/>
      <c r="BB359" s="83"/>
      <c r="BC359" s="83"/>
      <c r="BD359" s="83"/>
      <c r="BE359" s="83"/>
      <c r="BF359" s="83"/>
      <c r="BG359" s="83"/>
      <c r="BH359" s="83"/>
      <c r="BI359" s="83"/>
      <c r="BJ359" s="83"/>
      <c r="BK359" s="83"/>
      <c r="BL359" s="83"/>
      <c r="BM359" s="83"/>
      <c r="BN359" s="83"/>
      <c r="BO359" s="83"/>
      <c r="BP359" s="83"/>
      <c r="BQ359" s="83"/>
      <c r="BR359" s="83"/>
      <c r="BS359" s="83"/>
      <c r="BT359" s="83"/>
      <c r="BU359" s="83"/>
    </row>
    <row r="360" spans="15:73"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  <c r="BA360" s="83"/>
      <c r="BB360" s="83"/>
      <c r="BC360" s="83"/>
      <c r="BD360" s="83"/>
      <c r="BE360" s="83"/>
      <c r="BF360" s="83"/>
      <c r="BG360" s="83"/>
      <c r="BH360" s="83"/>
      <c r="BI360" s="83"/>
      <c r="BJ360" s="83"/>
      <c r="BK360" s="83"/>
      <c r="BL360" s="83"/>
      <c r="BM360" s="83"/>
      <c r="BN360" s="83"/>
      <c r="BO360" s="83"/>
      <c r="BP360" s="83"/>
      <c r="BQ360" s="83"/>
      <c r="BR360" s="83"/>
      <c r="BS360" s="83"/>
      <c r="BT360" s="83"/>
      <c r="BU360" s="83"/>
    </row>
    <row r="361" spans="15:73"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  <c r="AA361" s="83"/>
      <c r="AB361" s="83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  <c r="BA361" s="83"/>
      <c r="BB361" s="83"/>
      <c r="BC361" s="83"/>
      <c r="BD361" s="83"/>
      <c r="BE361" s="83"/>
      <c r="BF361" s="83"/>
      <c r="BG361" s="83"/>
      <c r="BH361" s="83"/>
      <c r="BI361" s="83"/>
      <c r="BJ361" s="83"/>
      <c r="BK361" s="83"/>
      <c r="BL361" s="83"/>
      <c r="BM361" s="83"/>
      <c r="BN361" s="83"/>
      <c r="BO361" s="83"/>
      <c r="BP361" s="83"/>
      <c r="BQ361" s="83"/>
      <c r="BR361" s="83"/>
      <c r="BS361" s="83"/>
      <c r="BT361" s="83"/>
      <c r="BU361" s="83"/>
    </row>
    <row r="362" spans="15:73"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  <c r="BA362" s="83"/>
      <c r="BB362" s="83"/>
      <c r="BC362" s="83"/>
      <c r="BD362" s="83"/>
      <c r="BE362" s="83"/>
      <c r="BF362" s="83"/>
      <c r="BG362" s="83"/>
      <c r="BH362" s="83"/>
      <c r="BI362" s="83"/>
      <c r="BJ362" s="83"/>
      <c r="BK362" s="83"/>
      <c r="BL362" s="83"/>
      <c r="BM362" s="83"/>
      <c r="BN362" s="83"/>
      <c r="BO362" s="83"/>
      <c r="BP362" s="83"/>
      <c r="BQ362" s="83"/>
      <c r="BR362" s="83"/>
      <c r="BS362" s="83"/>
      <c r="BT362" s="83"/>
      <c r="BU362" s="83"/>
    </row>
    <row r="363" spans="15:73"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  <c r="BA363" s="83"/>
      <c r="BB363" s="83"/>
      <c r="BC363" s="83"/>
      <c r="BD363" s="83"/>
      <c r="BE363" s="83"/>
      <c r="BF363" s="83"/>
      <c r="BG363" s="83"/>
      <c r="BH363" s="83"/>
      <c r="BI363" s="83"/>
      <c r="BJ363" s="83"/>
      <c r="BK363" s="83"/>
      <c r="BL363" s="83"/>
      <c r="BM363" s="83"/>
      <c r="BN363" s="83"/>
      <c r="BO363" s="83"/>
      <c r="BP363" s="83"/>
      <c r="BQ363" s="83"/>
      <c r="BR363" s="83"/>
      <c r="BS363" s="83"/>
      <c r="BT363" s="83"/>
      <c r="BU363" s="83"/>
    </row>
    <row r="364" spans="15:73"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  <c r="AA364" s="83"/>
      <c r="AB364" s="83"/>
      <c r="AC364" s="83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  <c r="AN364" s="83"/>
      <c r="AO364" s="83"/>
      <c r="AP364" s="83"/>
      <c r="AQ364" s="83"/>
      <c r="AR364" s="83"/>
      <c r="AS364" s="83"/>
      <c r="AT364" s="83"/>
      <c r="AU364" s="83"/>
      <c r="AV364" s="83"/>
      <c r="AW364" s="83"/>
      <c r="AX364" s="83"/>
      <c r="AY364" s="83"/>
      <c r="AZ364" s="83"/>
      <c r="BA364" s="83"/>
      <c r="BB364" s="83"/>
      <c r="BC364" s="83"/>
      <c r="BD364" s="83"/>
      <c r="BE364" s="83"/>
      <c r="BF364" s="83"/>
      <c r="BG364" s="83"/>
      <c r="BH364" s="83"/>
      <c r="BI364" s="83"/>
      <c r="BJ364" s="83"/>
      <c r="BK364" s="83"/>
      <c r="BL364" s="83"/>
      <c r="BM364" s="83"/>
      <c r="BN364" s="83"/>
      <c r="BO364" s="83"/>
      <c r="BP364" s="83"/>
      <c r="BQ364" s="83"/>
      <c r="BR364" s="83"/>
      <c r="BS364" s="83"/>
      <c r="BT364" s="83"/>
      <c r="BU364" s="83"/>
    </row>
    <row r="365" spans="15:73"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  <c r="AA365" s="83"/>
      <c r="AB365" s="83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  <c r="AN365" s="83"/>
      <c r="AO365" s="83"/>
      <c r="AP365" s="83"/>
      <c r="AQ365" s="83"/>
      <c r="AR365" s="83"/>
      <c r="AS365" s="83"/>
      <c r="AT365" s="83"/>
      <c r="AU365" s="83"/>
      <c r="AV365" s="83"/>
      <c r="AW365" s="83"/>
      <c r="AX365" s="83"/>
      <c r="AY365" s="83"/>
      <c r="AZ365" s="83"/>
      <c r="BA365" s="83"/>
      <c r="BB365" s="83"/>
      <c r="BC365" s="83"/>
      <c r="BD365" s="83"/>
      <c r="BE365" s="83"/>
      <c r="BF365" s="83"/>
      <c r="BG365" s="83"/>
      <c r="BH365" s="83"/>
      <c r="BI365" s="83"/>
      <c r="BJ365" s="83"/>
      <c r="BK365" s="83"/>
      <c r="BL365" s="83"/>
      <c r="BM365" s="83"/>
      <c r="BN365" s="83"/>
      <c r="BO365" s="83"/>
      <c r="BP365" s="83"/>
      <c r="BQ365" s="83"/>
      <c r="BR365" s="83"/>
      <c r="BS365" s="83"/>
      <c r="BT365" s="83"/>
      <c r="BU365" s="83"/>
    </row>
    <row r="366" spans="15:73"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  <c r="AA366" s="83"/>
      <c r="AB366" s="83"/>
      <c r="AC366" s="83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  <c r="AN366" s="83"/>
      <c r="AO366" s="83"/>
      <c r="AP366" s="83"/>
      <c r="AQ366" s="83"/>
      <c r="AR366" s="83"/>
      <c r="AS366" s="83"/>
      <c r="AT366" s="83"/>
      <c r="AU366" s="83"/>
      <c r="AV366" s="83"/>
      <c r="AW366" s="83"/>
      <c r="AX366" s="83"/>
      <c r="AY366" s="83"/>
      <c r="AZ366" s="83"/>
      <c r="BA366" s="83"/>
      <c r="BB366" s="83"/>
      <c r="BC366" s="83"/>
      <c r="BD366" s="83"/>
      <c r="BE366" s="83"/>
      <c r="BF366" s="83"/>
      <c r="BG366" s="83"/>
      <c r="BH366" s="83"/>
      <c r="BI366" s="83"/>
      <c r="BJ366" s="83"/>
      <c r="BK366" s="83"/>
      <c r="BL366" s="83"/>
      <c r="BM366" s="83"/>
      <c r="BN366" s="83"/>
      <c r="BO366" s="83"/>
      <c r="BP366" s="83"/>
      <c r="BQ366" s="83"/>
      <c r="BR366" s="83"/>
      <c r="BS366" s="83"/>
      <c r="BT366" s="83"/>
      <c r="BU366" s="83"/>
    </row>
    <row r="367" spans="15:73"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3"/>
      <c r="AF367" s="83"/>
      <c r="AG367" s="83"/>
      <c r="AH367" s="83"/>
      <c r="AI367" s="83"/>
      <c r="AJ367" s="83"/>
      <c r="AK367" s="83"/>
      <c r="AL367" s="83"/>
      <c r="AM367" s="83"/>
      <c r="AN367" s="83"/>
      <c r="AO367" s="83"/>
      <c r="AP367" s="83"/>
      <c r="AQ367" s="83"/>
      <c r="AR367" s="83"/>
      <c r="AS367" s="83"/>
      <c r="AT367" s="83"/>
      <c r="AU367" s="83"/>
      <c r="AV367" s="83"/>
      <c r="AW367" s="83"/>
      <c r="AX367" s="83"/>
      <c r="AY367" s="83"/>
      <c r="AZ367" s="83"/>
      <c r="BA367" s="83"/>
      <c r="BB367" s="83"/>
      <c r="BC367" s="83"/>
      <c r="BD367" s="83"/>
      <c r="BE367" s="83"/>
      <c r="BF367" s="83"/>
      <c r="BG367" s="83"/>
      <c r="BH367" s="83"/>
      <c r="BI367" s="83"/>
      <c r="BJ367" s="83"/>
      <c r="BK367" s="83"/>
      <c r="BL367" s="83"/>
      <c r="BM367" s="83"/>
      <c r="BN367" s="83"/>
      <c r="BO367" s="83"/>
      <c r="BP367" s="83"/>
      <c r="BQ367" s="83"/>
      <c r="BR367" s="83"/>
      <c r="BS367" s="83"/>
      <c r="BT367" s="83"/>
      <c r="BU367" s="83"/>
    </row>
    <row r="368" spans="15:73"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  <c r="AC368" s="83"/>
      <c r="AD368" s="83"/>
      <c r="AE368" s="83"/>
      <c r="AF368" s="83"/>
      <c r="AG368" s="83"/>
      <c r="AH368" s="83"/>
      <c r="AI368" s="83"/>
      <c r="AJ368" s="83"/>
      <c r="AK368" s="83"/>
      <c r="AL368" s="83"/>
      <c r="AM368" s="83"/>
      <c r="AN368" s="83"/>
      <c r="AO368" s="83"/>
      <c r="AP368" s="83"/>
      <c r="AQ368" s="83"/>
      <c r="AR368" s="83"/>
      <c r="AS368" s="83"/>
      <c r="AT368" s="83"/>
      <c r="AU368" s="83"/>
      <c r="AV368" s="83"/>
      <c r="AW368" s="83"/>
      <c r="AX368" s="83"/>
      <c r="AY368" s="83"/>
      <c r="AZ368" s="83"/>
      <c r="BA368" s="83"/>
      <c r="BB368" s="83"/>
      <c r="BC368" s="83"/>
      <c r="BD368" s="83"/>
      <c r="BE368" s="83"/>
      <c r="BF368" s="83"/>
      <c r="BG368" s="83"/>
      <c r="BH368" s="83"/>
      <c r="BI368" s="83"/>
      <c r="BJ368" s="83"/>
      <c r="BK368" s="83"/>
      <c r="BL368" s="83"/>
      <c r="BM368" s="83"/>
      <c r="BN368" s="83"/>
      <c r="BO368" s="83"/>
      <c r="BP368" s="83"/>
      <c r="BQ368" s="83"/>
      <c r="BR368" s="83"/>
      <c r="BS368" s="83"/>
      <c r="BT368" s="83"/>
      <c r="BU368" s="83"/>
    </row>
    <row r="369" spans="15:73"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  <c r="AA369" s="83"/>
      <c r="AB369" s="83"/>
      <c r="AC369" s="83"/>
      <c r="AD369" s="83"/>
      <c r="AE369" s="83"/>
      <c r="AF369" s="83"/>
      <c r="AG369" s="83"/>
      <c r="AH369" s="83"/>
      <c r="AI369" s="83"/>
      <c r="AJ369" s="83"/>
      <c r="AK369" s="83"/>
      <c r="AL369" s="83"/>
      <c r="AM369" s="83"/>
      <c r="AN369" s="83"/>
      <c r="AO369" s="83"/>
      <c r="AP369" s="83"/>
      <c r="AQ369" s="83"/>
      <c r="AR369" s="83"/>
      <c r="AS369" s="83"/>
      <c r="AT369" s="83"/>
      <c r="AU369" s="83"/>
      <c r="AV369" s="83"/>
      <c r="AW369" s="83"/>
      <c r="AX369" s="83"/>
      <c r="AY369" s="83"/>
      <c r="AZ369" s="83"/>
      <c r="BA369" s="83"/>
      <c r="BB369" s="83"/>
      <c r="BC369" s="83"/>
      <c r="BD369" s="83"/>
      <c r="BE369" s="83"/>
      <c r="BF369" s="83"/>
      <c r="BG369" s="83"/>
      <c r="BH369" s="83"/>
      <c r="BI369" s="83"/>
      <c r="BJ369" s="83"/>
      <c r="BK369" s="83"/>
      <c r="BL369" s="83"/>
      <c r="BM369" s="83"/>
      <c r="BN369" s="83"/>
      <c r="BO369" s="83"/>
      <c r="BP369" s="83"/>
      <c r="BQ369" s="83"/>
      <c r="BR369" s="83"/>
      <c r="BS369" s="83"/>
      <c r="BT369" s="83"/>
      <c r="BU369" s="83"/>
    </row>
    <row r="370" spans="15:73"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  <c r="AC370" s="83"/>
      <c r="AD370" s="83"/>
      <c r="AE370" s="83"/>
      <c r="AF370" s="83"/>
      <c r="AG370" s="83"/>
      <c r="AH370" s="83"/>
      <c r="AI370" s="83"/>
      <c r="AJ370" s="83"/>
      <c r="AK370" s="83"/>
      <c r="AL370" s="83"/>
      <c r="AM370" s="83"/>
      <c r="AN370" s="83"/>
      <c r="AO370" s="83"/>
      <c r="AP370" s="83"/>
      <c r="AQ370" s="83"/>
      <c r="AR370" s="83"/>
      <c r="AS370" s="83"/>
      <c r="AT370" s="83"/>
      <c r="AU370" s="83"/>
      <c r="AV370" s="83"/>
      <c r="AW370" s="83"/>
      <c r="AX370" s="83"/>
      <c r="AY370" s="83"/>
      <c r="AZ370" s="83"/>
      <c r="BA370" s="83"/>
      <c r="BB370" s="83"/>
      <c r="BC370" s="83"/>
      <c r="BD370" s="83"/>
      <c r="BE370" s="83"/>
      <c r="BF370" s="83"/>
      <c r="BG370" s="83"/>
      <c r="BH370" s="83"/>
      <c r="BI370" s="83"/>
      <c r="BJ370" s="83"/>
      <c r="BK370" s="83"/>
      <c r="BL370" s="83"/>
      <c r="BM370" s="83"/>
      <c r="BN370" s="83"/>
      <c r="BO370" s="83"/>
      <c r="BP370" s="83"/>
      <c r="BQ370" s="83"/>
      <c r="BR370" s="83"/>
      <c r="BS370" s="83"/>
      <c r="BT370" s="83"/>
      <c r="BU370" s="83"/>
    </row>
    <row r="371" spans="15:73"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  <c r="AC371" s="83"/>
      <c r="AD371" s="83"/>
      <c r="AE371" s="83"/>
      <c r="AF371" s="83"/>
      <c r="AG371" s="83"/>
      <c r="AH371" s="83"/>
      <c r="AI371" s="83"/>
      <c r="AJ371" s="83"/>
      <c r="AK371" s="83"/>
      <c r="AL371" s="83"/>
      <c r="AM371" s="83"/>
      <c r="AN371" s="83"/>
      <c r="AO371" s="83"/>
      <c r="AP371" s="83"/>
      <c r="AQ371" s="83"/>
      <c r="AR371" s="83"/>
      <c r="AS371" s="83"/>
      <c r="AT371" s="83"/>
      <c r="AU371" s="83"/>
      <c r="AV371" s="83"/>
      <c r="AW371" s="83"/>
      <c r="AX371" s="83"/>
      <c r="AY371" s="83"/>
      <c r="AZ371" s="83"/>
      <c r="BA371" s="83"/>
      <c r="BB371" s="83"/>
      <c r="BC371" s="83"/>
      <c r="BD371" s="83"/>
      <c r="BE371" s="83"/>
      <c r="BF371" s="83"/>
      <c r="BG371" s="83"/>
      <c r="BH371" s="83"/>
      <c r="BI371" s="83"/>
      <c r="BJ371" s="83"/>
      <c r="BK371" s="83"/>
      <c r="BL371" s="83"/>
      <c r="BM371" s="83"/>
      <c r="BN371" s="83"/>
      <c r="BO371" s="83"/>
      <c r="BP371" s="83"/>
      <c r="BQ371" s="83"/>
      <c r="BR371" s="83"/>
      <c r="BS371" s="83"/>
      <c r="BT371" s="83"/>
      <c r="BU371" s="83"/>
    </row>
    <row r="372" spans="15:73"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  <c r="AA372" s="83"/>
      <c r="AB372" s="83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  <c r="AV372" s="83"/>
      <c r="AW372" s="83"/>
      <c r="AX372" s="83"/>
      <c r="AY372" s="83"/>
      <c r="AZ372" s="83"/>
      <c r="BA372" s="83"/>
      <c r="BB372" s="83"/>
      <c r="BC372" s="83"/>
      <c r="BD372" s="83"/>
      <c r="BE372" s="83"/>
      <c r="BF372" s="83"/>
      <c r="BG372" s="83"/>
      <c r="BH372" s="83"/>
      <c r="BI372" s="83"/>
      <c r="BJ372" s="83"/>
      <c r="BK372" s="83"/>
      <c r="BL372" s="83"/>
      <c r="BM372" s="83"/>
      <c r="BN372" s="83"/>
      <c r="BO372" s="83"/>
      <c r="BP372" s="83"/>
      <c r="BQ372" s="83"/>
      <c r="BR372" s="83"/>
      <c r="BS372" s="83"/>
      <c r="BT372" s="83"/>
      <c r="BU372" s="83"/>
    </row>
    <row r="373" spans="15:73"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  <c r="AA373" s="83"/>
      <c r="AB373" s="83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  <c r="AN373" s="83"/>
      <c r="AO373" s="83"/>
      <c r="AP373" s="83"/>
      <c r="AQ373" s="83"/>
      <c r="AR373" s="83"/>
      <c r="AS373" s="83"/>
      <c r="AT373" s="83"/>
      <c r="AU373" s="83"/>
      <c r="AV373" s="83"/>
      <c r="AW373" s="83"/>
      <c r="AX373" s="83"/>
      <c r="AY373" s="83"/>
      <c r="AZ373" s="83"/>
      <c r="BA373" s="83"/>
      <c r="BB373" s="83"/>
      <c r="BC373" s="83"/>
      <c r="BD373" s="83"/>
      <c r="BE373" s="83"/>
      <c r="BF373" s="83"/>
      <c r="BG373" s="83"/>
      <c r="BH373" s="83"/>
      <c r="BI373" s="83"/>
      <c r="BJ373" s="83"/>
      <c r="BK373" s="83"/>
      <c r="BL373" s="83"/>
      <c r="BM373" s="83"/>
      <c r="BN373" s="83"/>
      <c r="BO373" s="83"/>
      <c r="BP373" s="83"/>
      <c r="BQ373" s="83"/>
      <c r="BR373" s="83"/>
      <c r="BS373" s="83"/>
      <c r="BT373" s="83"/>
      <c r="BU373" s="83"/>
    </row>
    <row r="374" spans="15:73"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  <c r="AA374" s="83"/>
      <c r="AB374" s="83"/>
      <c r="AC374" s="83"/>
      <c r="AD374" s="83"/>
      <c r="AE374" s="83"/>
      <c r="AF374" s="83"/>
      <c r="AG374" s="83"/>
      <c r="AH374" s="83"/>
      <c r="AI374" s="83"/>
      <c r="AJ374" s="83"/>
      <c r="AK374" s="83"/>
      <c r="AL374" s="83"/>
      <c r="AM374" s="83"/>
      <c r="AN374" s="83"/>
      <c r="AO374" s="83"/>
      <c r="AP374" s="83"/>
      <c r="AQ374" s="83"/>
      <c r="AR374" s="83"/>
      <c r="AS374" s="83"/>
      <c r="AT374" s="83"/>
      <c r="AU374" s="83"/>
      <c r="AV374" s="83"/>
      <c r="AW374" s="83"/>
      <c r="AX374" s="83"/>
      <c r="AY374" s="83"/>
      <c r="AZ374" s="83"/>
      <c r="BA374" s="83"/>
      <c r="BB374" s="83"/>
      <c r="BC374" s="83"/>
      <c r="BD374" s="83"/>
      <c r="BE374" s="83"/>
      <c r="BF374" s="83"/>
      <c r="BG374" s="83"/>
      <c r="BH374" s="83"/>
      <c r="BI374" s="83"/>
      <c r="BJ374" s="83"/>
      <c r="BK374" s="83"/>
      <c r="BL374" s="83"/>
      <c r="BM374" s="83"/>
      <c r="BN374" s="83"/>
      <c r="BO374" s="83"/>
      <c r="BP374" s="83"/>
      <c r="BQ374" s="83"/>
      <c r="BR374" s="83"/>
      <c r="BS374" s="83"/>
      <c r="BT374" s="83"/>
      <c r="BU374" s="83"/>
    </row>
    <row r="375" spans="15:73"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  <c r="AV375" s="83"/>
      <c r="AW375" s="83"/>
      <c r="AX375" s="83"/>
      <c r="AY375" s="83"/>
      <c r="AZ375" s="83"/>
      <c r="BA375" s="83"/>
      <c r="BB375" s="83"/>
      <c r="BC375" s="83"/>
      <c r="BD375" s="83"/>
      <c r="BE375" s="83"/>
      <c r="BF375" s="83"/>
      <c r="BG375" s="83"/>
      <c r="BH375" s="83"/>
      <c r="BI375" s="83"/>
      <c r="BJ375" s="83"/>
      <c r="BK375" s="83"/>
      <c r="BL375" s="83"/>
      <c r="BM375" s="83"/>
      <c r="BN375" s="83"/>
      <c r="BO375" s="83"/>
      <c r="BP375" s="83"/>
      <c r="BQ375" s="83"/>
      <c r="BR375" s="83"/>
      <c r="BS375" s="83"/>
      <c r="BT375" s="83"/>
      <c r="BU375" s="83"/>
    </row>
    <row r="376" spans="15:73"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  <c r="AV376" s="83"/>
      <c r="AW376" s="83"/>
      <c r="AX376" s="83"/>
      <c r="AY376" s="83"/>
      <c r="AZ376" s="83"/>
      <c r="BA376" s="83"/>
      <c r="BB376" s="83"/>
      <c r="BC376" s="83"/>
      <c r="BD376" s="83"/>
      <c r="BE376" s="83"/>
      <c r="BF376" s="83"/>
      <c r="BG376" s="83"/>
      <c r="BH376" s="83"/>
      <c r="BI376" s="83"/>
      <c r="BJ376" s="83"/>
      <c r="BK376" s="83"/>
      <c r="BL376" s="83"/>
      <c r="BM376" s="83"/>
      <c r="BN376" s="83"/>
      <c r="BO376" s="83"/>
      <c r="BP376" s="83"/>
      <c r="BQ376" s="83"/>
      <c r="BR376" s="83"/>
      <c r="BS376" s="83"/>
      <c r="BT376" s="83"/>
      <c r="BU376" s="83"/>
    </row>
    <row r="377" spans="15:73"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  <c r="AN377" s="83"/>
      <c r="AO377" s="83"/>
      <c r="AP377" s="83"/>
      <c r="AQ377" s="83"/>
      <c r="AR377" s="83"/>
      <c r="AS377" s="83"/>
      <c r="AT377" s="83"/>
      <c r="AU377" s="83"/>
      <c r="AV377" s="83"/>
      <c r="AW377" s="83"/>
      <c r="AX377" s="83"/>
      <c r="AY377" s="83"/>
      <c r="AZ377" s="83"/>
      <c r="BA377" s="83"/>
      <c r="BB377" s="83"/>
      <c r="BC377" s="83"/>
      <c r="BD377" s="83"/>
      <c r="BE377" s="83"/>
      <c r="BF377" s="83"/>
      <c r="BG377" s="83"/>
      <c r="BH377" s="83"/>
      <c r="BI377" s="83"/>
      <c r="BJ377" s="83"/>
      <c r="BK377" s="83"/>
      <c r="BL377" s="83"/>
      <c r="BM377" s="83"/>
      <c r="BN377" s="83"/>
      <c r="BO377" s="83"/>
      <c r="BP377" s="83"/>
      <c r="BQ377" s="83"/>
      <c r="BR377" s="83"/>
      <c r="BS377" s="83"/>
      <c r="BT377" s="83"/>
      <c r="BU377" s="83"/>
    </row>
    <row r="378" spans="15:73"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  <c r="AA378" s="83"/>
      <c r="AB378" s="83"/>
      <c r="AC378" s="83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  <c r="AN378" s="83"/>
      <c r="AO378" s="83"/>
      <c r="AP378" s="83"/>
      <c r="AQ378" s="83"/>
      <c r="AR378" s="83"/>
      <c r="AS378" s="83"/>
      <c r="AT378" s="83"/>
      <c r="AU378" s="83"/>
      <c r="AV378" s="83"/>
      <c r="AW378" s="83"/>
      <c r="AX378" s="83"/>
      <c r="AY378" s="83"/>
      <c r="AZ378" s="83"/>
      <c r="BA378" s="83"/>
      <c r="BB378" s="83"/>
      <c r="BC378" s="83"/>
      <c r="BD378" s="83"/>
      <c r="BE378" s="83"/>
      <c r="BF378" s="83"/>
      <c r="BG378" s="83"/>
      <c r="BH378" s="83"/>
      <c r="BI378" s="83"/>
      <c r="BJ378" s="83"/>
      <c r="BK378" s="83"/>
      <c r="BL378" s="83"/>
      <c r="BM378" s="83"/>
      <c r="BN378" s="83"/>
      <c r="BO378" s="83"/>
      <c r="BP378" s="83"/>
      <c r="BQ378" s="83"/>
      <c r="BR378" s="83"/>
      <c r="BS378" s="83"/>
      <c r="BT378" s="83"/>
      <c r="BU378" s="83"/>
    </row>
    <row r="379" spans="15:73"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  <c r="AA379" s="83"/>
      <c r="AB379" s="83"/>
      <c r="AC379" s="83"/>
      <c r="AD379" s="83"/>
      <c r="AE379" s="83"/>
      <c r="AF379" s="83"/>
      <c r="AG379" s="83"/>
      <c r="AH379" s="83"/>
      <c r="AI379" s="83"/>
      <c r="AJ379" s="83"/>
      <c r="AK379" s="83"/>
      <c r="AL379" s="83"/>
      <c r="AM379" s="83"/>
      <c r="AN379" s="83"/>
      <c r="AO379" s="83"/>
      <c r="AP379" s="83"/>
      <c r="AQ379" s="83"/>
      <c r="AR379" s="83"/>
      <c r="AS379" s="83"/>
      <c r="AT379" s="83"/>
      <c r="AU379" s="83"/>
      <c r="AV379" s="83"/>
      <c r="AW379" s="83"/>
      <c r="AX379" s="83"/>
      <c r="AY379" s="83"/>
      <c r="AZ379" s="83"/>
      <c r="BA379" s="83"/>
      <c r="BB379" s="83"/>
      <c r="BC379" s="83"/>
      <c r="BD379" s="83"/>
      <c r="BE379" s="83"/>
      <c r="BF379" s="83"/>
      <c r="BG379" s="83"/>
      <c r="BH379" s="83"/>
      <c r="BI379" s="83"/>
      <c r="BJ379" s="83"/>
      <c r="BK379" s="83"/>
      <c r="BL379" s="83"/>
      <c r="BM379" s="83"/>
      <c r="BN379" s="83"/>
      <c r="BO379" s="83"/>
      <c r="BP379" s="83"/>
      <c r="BQ379" s="83"/>
      <c r="BR379" s="83"/>
      <c r="BS379" s="83"/>
      <c r="BT379" s="83"/>
      <c r="BU379" s="83"/>
    </row>
    <row r="380" spans="15:73"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  <c r="AC380" s="83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  <c r="AN380" s="83"/>
      <c r="AO380" s="83"/>
      <c r="AP380" s="83"/>
      <c r="AQ380" s="83"/>
      <c r="AR380" s="83"/>
      <c r="AS380" s="83"/>
      <c r="AT380" s="83"/>
      <c r="AU380" s="83"/>
      <c r="AV380" s="83"/>
      <c r="AW380" s="83"/>
      <c r="AX380" s="83"/>
      <c r="AY380" s="83"/>
      <c r="AZ380" s="83"/>
      <c r="BA380" s="83"/>
      <c r="BB380" s="83"/>
      <c r="BC380" s="83"/>
      <c r="BD380" s="83"/>
      <c r="BE380" s="83"/>
      <c r="BF380" s="83"/>
      <c r="BG380" s="83"/>
      <c r="BH380" s="83"/>
      <c r="BI380" s="83"/>
      <c r="BJ380" s="83"/>
      <c r="BK380" s="83"/>
      <c r="BL380" s="83"/>
      <c r="BM380" s="83"/>
      <c r="BN380" s="83"/>
      <c r="BO380" s="83"/>
      <c r="BP380" s="83"/>
      <c r="BQ380" s="83"/>
      <c r="BR380" s="83"/>
      <c r="BS380" s="83"/>
      <c r="BT380" s="83"/>
      <c r="BU380" s="83"/>
    </row>
    <row r="381" spans="15:73"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  <c r="AN381" s="83"/>
      <c r="AO381" s="83"/>
      <c r="AP381" s="83"/>
      <c r="AQ381" s="83"/>
      <c r="AR381" s="83"/>
      <c r="AS381" s="83"/>
      <c r="AT381" s="83"/>
      <c r="AU381" s="83"/>
      <c r="AV381" s="83"/>
      <c r="AW381" s="83"/>
      <c r="AX381" s="83"/>
      <c r="AY381" s="83"/>
      <c r="AZ381" s="83"/>
      <c r="BA381" s="83"/>
      <c r="BB381" s="83"/>
      <c r="BC381" s="83"/>
      <c r="BD381" s="83"/>
      <c r="BE381" s="83"/>
      <c r="BF381" s="83"/>
      <c r="BG381" s="83"/>
      <c r="BH381" s="83"/>
      <c r="BI381" s="83"/>
      <c r="BJ381" s="83"/>
      <c r="BK381" s="83"/>
      <c r="BL381" s="83"/>
      <c r="BM381" s="83"/>
      <c r="BN381" s="83"/>
      <c r="BO381" s="83"/>
      <c r="BP381" s="83"/>
      <c r="BQ381" s="83"/>
      <c r="BR381" s="83"/>
      <c r="BS381" s="83"/>
      <c r="BT381" s="83"/>
      <c r="BU381" s="83"/>
    </row>
    <row r="382" spans="15:73"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83"/>
      <c r="AB382" s="83"/>
      <c r="AC382" s="83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  <c r="AV382" s="83"/>
      <c r="AW382" s="83"/>
      <c r="AX382" s="83"/>
      <c r="AY382" s="83"/>
      <c r="AZ382" s="83"/>
      <c r="BA382" s="83"/>
      <c r="BB382" s="83"/>
      <c r="BC382" s="83"/>
      <c r="BD382" s="83"/>
      <c r="BE382" s="83"/>
      <c r="BF382" s="83"/>
      <c r="BG382" s="83"/>
      <c r="BH382" s="83"/>
      <c r="BI382" s="83"/>
      <c r="BJ382" s="83"/>
      <c r="BK382" s="83"/>
      <c r="BL382" s="83"/>
      <c r="BM382" s="83"/>
      <c r="BN382" s="83"/>
      <c r="BO382" s="83"/>
      <c r="BP382" s="83"/>
      <c r="BQ382" s="83"/>
      <c r="BR382" s="83"/>
      <c r="BS382" s="83"/>
      <c r="BT382" s="83"/>
      <c r="BU382" s="83"/>
    </row>
    <row r="383" spans="15:73"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  <c r="AV383" s="83"/>
      <c r="AW383" s="83"/>
      <c r="AX383" s="83"/>
      <c r="AY383" s="83"/>
      <c r="AZ383" s="83"/>
      <c r="BA383" s="83"/>
      <c r="BB383" s="83"/>
      <c r="BC383" s="83"/>
      <c r="BD383" s="83"/>
      <c r="BE383" s="83"/>
      <c r="BF383" s="83"/>
      <c r="BG383" s="83"/>
      <c r="BH383" s="83"/>
      <c r="BI383" s="83"/>
      <c r="BJ383" s="83"/>
      <c r="BK383" s="83"/>
      <c r="BL383" s="83"/>
      <c r="BM383" s="83"/>
      <c r="BN383" s="83"/>
      <c r="BO383" s="83"/>
      <c r="BP383" s="83"/>
      <c r="BQ383" s="83"/>
      <c r="BR383" s="83"/>
      <c r="BS383" s="83"/>
      <c r="BT383" s="83"/>
      <c r="BU383" s="83"/>
    </row>
    <row r="384" spans="15:73"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  <c r="AV384" s="83"/>
      <c r="AW384" s="83"/>
      <c r="AX384" s="83"/>
      <c r="AY384" s="83"/>
      <c r="AZ384" s="83"/>
      <c r="BA384" s="83"/>
      <c r="BB384" s="83"/>
      <c r="BC384" s="83"/>
      <c r="BD384" s="83"/>
      <c r="BE384" s="83"/>
      <c r="BF384" s="83"/>
      <c r="BG384" s="83"/>
      <c r="BH384" s="83"/>
      <c r="BI384" s="83"/>
      <c r="BJ384" s="83"/>
      <c r="BK384" s="83"/>
      <c r="BL384" s="83"/>
      <c r="BM384" s="83"/>
      <c r="BN384" s="83"/>
      <c r="BO384" s="83"/>
      <c r="BP384" s="83"/>
      <c r="BQ384" s="83"/>
      <c r="BR384" s="83"/>
      <c r="BS384" s="83"/>
      <c r="BT384" s="83"/>
      <c r="BU384" s="83"/>
    </row>
    <row r="385" spans="15:73"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  <c r="AE385" s="83"/>
      <c r="AF385" s="83"/>
      <c r="AG385" s="83"/>
      <c r="AH385" s="83"/>
      <c r="AI385" s="83"/>
      <c r="AJ385" s="83"/>
      <c r="AK385" s="83"/>
      <c r="AL385" s="83"/>
      <c r="AM385" s="83"/>
      <c r="AN385" s="83"/>
      <c r="AO385" s="83"/>
      <c r="AP385" s="83"/>
      <c r="AQ385" s="83"/>
      <c r="AR385" s="83"/>
      <c r="AS385" s="83"/>
      <c r="AT385" s="83"/>
      <c r="AU385" s="83"/>
      <c r="AV385" s="83"/>
      <c r="AW385" s="83"/>
      <c r="AX385" s="83"/>
      <c r="AY385" s="83"/>
      <c r="AZ385" s="83"/>
      <c r="BA385" s="83"/>
      <c r="BB385" s="83"/>
      <c r="BC385" s="83"/>
      <c r="BD385" s="83"/>
      <c r="BE385" s="83"/>
      <c r="BF385" s="83"/>
      <c r="BG385" s="83"/>
      <c r="BH385" s="83"/>
      <c r="BI385" s="83"/>
      <c r="BJ385" s="83"/>
      <c r="BK385" s="83"/>
      <c r="BL385" s="83"/>
      <c r="BM385" s="83"/>
      <c r="BN385" s="83"/>
      <c r="BO385" s="83"/>
      <c r="BP385" s="83"/>
      <c r="BQ385" s="83"/>
      <c r="BR385" s="83"/>
      <c r="BS385" s="83"/>
      <c r="BT385" s="83"/>
      <c r="BU385" s="83"/>
    </row>
    <row r="386" spans="15:73"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  <c r="AN386" s="83"/>
      <c r="AO386" s="83"/>
      <c r="AP386" s="83"/>
      <c r="AQ386" s="83"/>
      <c r="AR386" s="83"/>
      <c r="AS386" s="83"/>
      <c r="AT386" s="83"/>
      <c r="AU386" s="83"/>
      <c r="AV386" s="83"/>
      <c r="AW386" s="83"/>
      <c r="AX386" s="83"/>
      <c r="AY386" s="83"/>
      <c r="AZ386" s="83"/>
      <c r="BA386" s="83"/>
      <c r="BB386" s="83"/>
      <c r="BC386" s="83"/>
      <c r="BD386" s="83"/>
      <c r="BE386" s="83"/>
      <c r="BF386" s="83"/>
      <c r="BG386" s="83"/>
      <c r="BH386" s="83"/>
      <c r="BI386" s="83"/>
      <c r="BJ386" s="83"/>
      <c r="BK386" s="83"/>
      <c r="BL386" s="83"/>
      <c r="BM386" s="83"/>
      <c r="BN386" s="83"/>
      <c r="BO386" s="83"/>
      <c r="BP386" s="83"/>
      <c r="BQ386" s="83"/>
      <c r="BR386" s="83"/>
      <c r="BS386" s="83"/>
      <c r="BT386" s="83"/>
      <c r="BU386" s="83"/>
    </row>
    <row r="387" spans="15:73"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  <c r="AN387" s="83"/>
      <c r="AO387" s="83"/>
      <c r="AP387" s="83"/>
      <c r="AQ387" s="83"/>
      <c r="AR387" s="83"/>
      <c r="AS387" s="83"/>
      <c r="AT387" s="83"/>
      <c r="AU387" s="83"/>
      <c r="AV387" s="83"/>
      <c r="AW387" s="83"/>
      <c r="AX387" s="83"/>
      <c r="AY387" s="83"/>
      <c r="AZ387" s="83"/>
      <c r="BA387" s="83"/>
      <c r="BB387" s="83"/>
      <c r="BC387" s="83"/>
      <c r="BD387" s="83"/>
      <c r="BE387" s="83"/>
      <c r="BF387" s="83"/>
      <c r="BG387" s="83"/>
      <c r="BH387" s="83"/>
      <c r="BI387" s="83"/>
      <c r="BJ387" s="83"/>
      <c r="BK387" s="83"/>
      <c r="BL387" s="83"/>
      <c r="BM387" s="83"/>
      <c r="BN387" s="83"/>
      <c r="BO387" s="83"/>
      <c r="BP387" s="83"/>
      <c r="BQ387" s="83"/>
      <c r="BR387" s="83"/>
      <c r="BS387" s="83"/>
      <c r="BT387" s="83"/>
      <c r="BU387" s="83"/>
    </row>
    <row r="388" spans="15:73"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/>
      <c r="AE388" s="83"/>
      <c r="AF388" s="83"/>
      <c r="AG388" s="83"/>
      <c r="AH388" s="83"/>
      <c r="AI388" s="83"/>
      <c r="AJ388" s="83"/>
      <c r="AK388" s="83"/>
      <c r="AL388" s="83"/>
      <c r="AM388" s="83"/>
      <c r="AN388" s="83"/>
      <c r="AO388" s="83"/>
      <c r="AP388" s="83"/>
      <c r="AQ388" s="83"/>
      <c r="AR388" s="83"/>
      <c r="AS388" s="83"/>
      <c r="AT388" s="83"/>
      <c r="AU388" s="83"/>
      <c r="AV388" s="83"/>
      <c r="AW388" s="83"/>
      <c r="AX388" s="83"/>
      <c r="AY388" s="83"/>
      <c r="AZ388" s="83"/>
      <c r="BA388" s="83"/>
      <c r="BB388" s="83"/>
      <c r="BC388" s="83"/>
      <c r="BD388" s="83"/>
      <c r="BE388" s="83"/>
      <c r="BF388" s="83"/>
      <c r="BG388" s="83"/>
      <c r="BH388" s="83"/>
      <c r="BI388" s="83"/>
      <c r="BJ388" s="83"/>
      <c r="BK388" s="83"/>
      <c r="BL388" s="83"/>
      <c r="BM388" s="83"/>
      <c r="BN388" s="83"/>
      <c r="BO388" s="83"/>
      <c r="BP388" s="83"/>
      <c r="BQ388" s="83"/>
      <c r="BR388" s="83"/>
      <c r="BS388" s="83"/>
      <c r="BT388" s="83"/>
      <c r="BU388" s="83"/>
    </row>
    <row r="389" spans="15:73"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83"/>
      <c r="AB389" s="83"/>
      <c r="AC389" s="83"/>
      <c r="AD389" s="83"/>
      <c r="AE389" s="83"/>
      <c r="AF389" s="83"/>
      <c r="AG389" s="83"/>
      <c r="AH389" s="83"/>
      <c r="AI389" s="83"/>
      <c r="AJ389" s="83"/>
      <c r="AK389" s="83"/>
      <c r="AL389" s="83"/>
      <c r="AM389" s="83"/>
      <c r="AN389" s="83"/>
      <c r="AO389" s="83"/>
      <c r="AP389" s="83"/>
      <c r="AQ389" s="83"/>
      <c r="AR389" s="83"/>
      <c r="AS389" s="83"/>
      <c r="AT389" s="83"/>
      <c r="AU389" s="83"/>
      <c r="AV389" s="83"/>
      <c r="AW389" s="83"/>
      <c r="AX389" s="83"/>
      <c r="AY389" s="83"/>
      <c r="AZ389" s="83"/>
      <c r="BA389" s="83"/>
      <c r="BB389" s="83"/>
      <c r="BC389" s="83"/>
      <c r="BD389" s="83"/>
      <c r="BE389" s="83"/>
      <c r="BF389" s="83"/>
      <c r="BG389" s="83"/>
      <c r="BH389" s="83"/>
      <c r="BI389" s="83"/>
      <c r="BJ389" s="83"/>
      <c r="BK389" s="83"/>
      <c r="BL389" s="83"/>
      <c r="BM389" s="83"/>
      <c r="BN389" s="83"/>
      <c r="BO389" s="83"/>
      <c r="BP389" s="83"/>
      <c r="BQ389" s="83"/>
      <c r="BR389" s="83"/>
      <c r="BS389" s="83"/>
      <c r="BT389" s="83"/>
      <c r="BU389" s="83"/>
    </row>
    <row r="390" spans="15:73"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  <c r="AA390" s="83"/>
      <c r="AB390" s="83"/>
      <c r="AC390" s="83"/>
      <c r="AD390" s="83"/>
      <c r="AE390" s="83"/>
      <c r="AF390" s="83"/>
      <c r="AG390" s="83"/>
      <c r="AH390" s="83"/>
      <c r="AI390" s="83"/>
      <c r="AJ390" s="83"/>
      <c r="AK390" s="83"/>
      <c r="AL390" s="83"/>
      <c r="AM390" s="83"/>
      <c r="AN390" s="83"/>
      <c r="AO390" s="83"/>
      <c r="AP390" s="83"/>
      <c r="AQ390" s="83"/>
      <c r="AR390" s="83"/>
      <c r="AS390" s="83"/>
      <c r="AT390" s="83"/>
      <c r="AU390" s="83"/>
      <c r="AV390" s="83"/>
      <c r="AW390" s="83"/>
      <c r="AX390" s="83"/>
      <c r="AY390" s="83"/>
      <c r="AZ390" s="83"/>
      <c r="BA390" s="83"/>
      <c r="BB390" s="83"/>
      <c r="BC390" s="83"/>
      <c r="BD390" s="83"/>
      <c r="BE390" s="83"/>
      <c r="BF390" s="83"/>
      <c r="BG390" s="83"/>
      <c r="BH390" s="83"/>
      <c r="BI390" s="83"/>
      <c r="BJ390" s="83"/>
      <c r="BK390" s="83"/>
      <c r="BL390" s="83"/>
      <c r="BM390" s="83"/>
      <c r="BN390" s="83"/>
      <c r="BO390" s="83"/>
      <c r="BP390" s="83"/>
      <c r="BQ390" s="83"/>
      <c r="BR390" s="83"/>
      <c r="BS390" s="83"/>
      <c r="BT390" s="83"/>
      <c r="BU390" s="83"/>
    </row>
    <row r="391" spans="15:73"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  <c r="AE391" s="83"/>
      <c r="AF391" s="83"/>
      <c r="AG391" s="83"/>
      <c r="AH391" s="83"/>
      <c r="AI391" s="83"/>
      <c r="AJ391" s="83"/>
      <c r="AK391" s="83"/>
      <c r="AL391" s="83"/>
      <c r="AM391" s="83"/>
      <c r="AN391" s="83"/>
      <c r="AO391" s="83"/>
      <c r="AP391" s="83"/>
      <c r="AQ391" s="83"/>
      <c r="AR391" s="83"/>
      <c r="AS391" s="83"/>
      <c r="AT391" s="83"/>
      <c r="AU391" s="83"/>
      <c r="AV391" s="83"/>
      <c r="AW391" s="83"/>
      <c r="AX391" s="83"/>
      <c r="AY391" s="83"/>
      <c r="AZ391" s="83"/>
      <c r="BA391" s="83"/>
      <c r="BB391" s="83"/>
      <c r="BC391" s="83"/>
      <c r="BD391" s="83"/>
      <c r="BE391" s="83"/>
      <c r="BF391" s="83"/>
      <c r="BG391" s="83"/>
      <c r="BH391" s="83"/>
      <c r="BI391" s="83"/>
      <c r="BJ391" s="83"/>
      <c r="BK391" s="83"/>
      <c r="BL391" s="83"/>
      <c r="BM391" s="83"/>
      <c r="BN391" s="83"/>
      <c r="BO391" s="83"/>
      <c r="BP391" s="83"/>
      <c r="BQ391" s="83"/>
      <c r="BR391" s="83"/>
      <c r="BS391" s="83"/>
      <c r="BT391" s="83"/>
      <c r="BU391" s="83"/>
    </row>
    <row r="392" spans="15:73"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  <c r="AV392" s="83"/>
      <c r="AW392" s="83"/>
      <c r="AX392" s="83"/>
      <c r="AY392" s="83"/>
      <c r="AZ392" s="83"/>
      <c r="BA392" s="83"/>
      <c r="BB392" s="83"/>
      <c r="BC392" s="83"/>
      <c r="BD392" s="83"/>
      <c r="BE392" s="83"/>
      <c r="BF392" s="83"/>
      <c r="BG392" s="83"/>
      <c r="BH392" s="83"/>
      <c r="BI392" s="83"/>
      <c r="BJ392" s="83"/>
      <c r="BK392" s="83"/>
      <c r="BL392" s="83"/>
      <c r="BM392" s="83"/>
      <c r="BN392" s="83"/>
      <c r="BO392" s="83"/>
      <c r="BP392" s="83"/>
      <c r="BQ392" s="83"/>
      <c r="BR392" s="83"/>
      <c r="BS392" s="83"/>
      <c r="BT392" s="83"/>
      <c r="BU392" s="83"/>
    </row>
    <row r="393" spans="15:73"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  <c r="AN393" s="83"/>
      <c r="AO393" s="83"/>
      <c r="AP393" s="83"/>
      <c r="AQ393" s="83"/>
      <c r="AR393" s="83"/>
      <c r="AS393" s="83"/>
      <c r="AT393" s="83"/>
      <c r="AU393" s="83"/>
      <c r="AV393" s="83"/>
      <c r="AW393" s="83"/>
      <c r="AX393" s="83"/>
      <c r="AY393" s="83"/>
      <c r="AZ393" s="83"/>
      <c r="BA393" s="83"/>
      <c r="BB393" s="83"/>
      <c r="BC393" s="83"/>
      <c r="BD393" s="83"/>
      <c r="BE393" s="83"/>
      <c r="BF393" s="83"/>
      <c r="BG393" s="83"/>
      <c r="BH393" s="83"/>
      <c r="BI393" s="83"/>
      <c r="BJ393" s="83"/>
      <c r="BK393" s="83"/>
      <c r="BL393" s="83"/>
      <c r="BM393" s="83"/>
      <c r="BN393" s="83"/>
      <c r="BO393" s="83"/>
      <c r="BP393" s="83"/>
      <c r="BQ393" s="83"/>
      <c r="BR393" s="83"/>
      <c r="BS393" s="83"/>
      <c r="BT393" s="83"/>
      <c r="BU393" s="83"/>
    </row>
    <row r="394" spans="15:73"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  <c r="AV394" s="83"/>
      <c r="AW394" s="83"/>
      <c r="AX394" s="83"/>
      <c r="AY394" s="83"/>
      <c r="AZ394" s="83"/>
      <c r="BA394" s="83"/>
      <c r="BB394" s="83"/>
      <c r="BC394" s="83"/>
      <c r="BD394" s="83"/>
      <c r="BE394" s="83"/>
      <c r="BF394" s="83"/>
      <c r="BG394" s="83"/>
      <c r="BH394" s="83"/>
      <c r="BI394" s="83"/>
      <c r="BJ394" s="83"/>
      <c r="BK394" s="83"/>
      <c r="BL394" s="83"/>
      <c r="BM394" s="83"/>
      <c r="BN394" s="83"/>
      <c r="BO394" s="83"/>
      <c r="BP394" s="83"/>
      <c r="BQ394" s="83"/>
      <c r="BR394" s="83"/>
      <c r="BS394" s="83"/>
      <c r="BT394" s="83"/>
      <c r="BU394" s="83"/>
    </row>
    <row r="395" spans="15:73"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83"/>
      <c r="AH395" s="83"/>
      <c r="AI395" s="83"/>
      <c r="AJ395" s="83"/>
      <c r="AK395" s="83"/>
      <c r="AL395" s="83"/>
      <c r="AM395" s="83"/>
      <c r="AN395" s="83"/>
      <c r="AO395" s="83"/>
      <c r="AP395" s="83"/>
      <c r="AQ395" s="83"/>
      <c r="AR395" s="83"/>
      <c r="AS395" s="83"/>
      <c r="AT395" s="83"/>
      <c r="AU395" s="83"/>
      <c r="AV395" s="83"/>
      <c r="AW395" s="83"/>
      <c r="AX395" s="83"/>
      <c r="AY395" s="83"/>
      <c r="AZ395" s="83"/>
      <c r="BA395" s="83"/>
      <c r="BB395" s="83"/>
      <c r="BC395" s="83"/>
      <c r="BD395" s="83"/>
      <c r="BE395" s="83"/>
      <c r="BF395" s="83"/>
      <c r="BG395" s="83"/>
      <c r="BH395" s="83"/>
      <c r="BI395" s="83"/>
      <c r="BJ395" s="83"/>
      <c r="BK395" s="83"/>
      <c r="BL395" s="83"/>
      <c r="BM395" s="83"/>
      <c r="BN395" s="83"/>
      <c r="BO395" s="83"/>
      <c r="BP395" s="83"/>
      <c r="BQ395" s="83"/>
      <c r="BR395" s="83"/>
      <c r="BS395" s="83"/>
      <c r="BT395" s="83"/>
      <c r="BU395" s="83"/>
    </row>
    <row r="396" spans="15:73"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  <c r="AN396" s="83"/>
      <c r="AO396" s="83"/>
      <c r="AP396" s="83"/>
      <c r="AQ396" s="83"/>
      <c r="AR396" s="83"/>
      <c r="AS396" s="83"/>
      <c r="AT396" s="83"/>
      <c r="AU396" s="83"/>
      <c r="AV396" s="83"/>
      <c r="AW396" s="83"/>
      <c r="AX396" s="83"/>
      <c r="AY396" s="83"/>
      <c r="AZ396" s="83"/>
      <c r="BA396" s="83"/>
      <c r="BB396" s="83"/>
      <c r="BC396" s="83"/>
      <c r="BD396" s="83"/>
      <c r="BE396" s="83"/>
      <c r="BF396" s="83"/>
      <c r="BG396" s="83"/>
      <c r="BH396" s="83"/>
      <c r="BI396" s="83"/>
      <c r="BJ396" s="83"/>
      <c r="BK396" s="83"/>
      <c r="BL396" s="83"/>
      <c r="BM396" s="83"/>
      <c r="BN396" s="83"/>
      <c r="BO396" s="83"/>
      <c r="BP396" s="83"/>
      <c r="BQ396" s="83"/>
      <c r="BR396" s="83"/>
      <c r="BS396" s="83"/>
      <c r="BT396" s="83"/>
      <c r="BU396" s="83"/>
    </row>
    <row r="397" spans="15:73"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  <c r="AN397" s="83"/>
      <c r="AO397" s="83"/>
      <c r="AP397" s="83"/>
      <c r="AQ397" s="83"/>
      <c r="AR397" s="83"/>
      <c r="AS397" s="83"/>
      <c r="AT397" s="83"/>
      <c r="AU397" s="83"/>
      <c r="AV397" s="83"/>
      <c r="AW397" s="83"/>
      <c r="AX397" s="83"/>
      <c r="AY397" s="83"/>
      <c r="AZ397" s="83"/>
      <c r="BA397" s="83"/>
      <c r="BB397" s="83"/>
      <c r="BC397" s="83"/>
      <c r="BD397" s="83"/>
      <c r="BE397" s="83"/>
      <c r="BF397" s="83"/>
      <c r="BG397" s="83"/>
      <c r="BH397" s="83"/>
      <c r="BI397" s="83"/>
      <c r="BJ397" s="83"/>
      <c r="BK397" s="83"/>
      <c r="BL397" s="83"/>
      <c r="BM397" s="83"/>
      <c r="BN397" s="83"/>
      <c r="BO397" s="83"/>
      <c r="BP397" s="83"/>
      <c r="BQ397" s="83"/>
      <c r="BR397" s="83"/>
      <c r="BS397" s="83"/>
      <c r="BT397" s="83"/>
      <c r="BU397" s="83"/>
    </row>
    <row r="398" spans="15:73"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  <c r="AN398" s="83"/>
      <c r="AO398" s="83"/>
      <c r="AP398" s="83"/>
      <c r="AQ398" s="83"/>
      <c r="AR398" s="83"/>
      <c r="AS398" s="83"/>
      <c r="AT398" s="83"/>
      <c r="AU398" s="83"/>
      <c r="AV398" s="83"/>
      <c r="AW398" s="83"/>
      <c r="AX398" s="83"/>
      <c r="AY398" s="83"/>
      <c r="AZ398" s="83"/>
      <c r="BA398" s="83"/>
      <c r="BB398" s="83"/>
      <c r="BC398" s="83"/>
      <c r="BD398" s="83"/>
      <c r="BE398" s="83"/>
      <c r="BF398" s="83"/>
      <c r="BG398" s="83"/>
      <c r="BH398" s="83"/>
      <c r="BI398" s="83"/>
      <c r="BJ398" s="83"/>
      <c r="BK398" s="83"/>
      <c r="BL398" s="83"/>
      <c r="BM398" s="83"/>
      <c r="BN398" s="83"/>
      <c r="BO398" s="83"/>
      <c r="BP398" s="83"/>
      <c r="BQ398" s="83"/>
      <c r="BR398" s="83"/>
      <c r="BS398" s="83"/>
      <c r="BT398" s="83"/>
      <c r="BU398" s="83"/>
    </row>
    <row r="399" spans="15:73"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  <c r="AN399" s="83"/>
      <c r="AO399" s="83"/>
      <c r="AP399" s="83"/>
      <c r="AQ399" s="83"/>
      <c r="AR399" s="83"/>
      <c r="AS399" s="83"/>
      <c r="AT399" s="83"/>
      <c r="AU399" s="83"/>
      <c r="AV399" s="83"/>
      <c r="AW399" s="83"/>
      <c r="AX399" s="83"/>
      <c r="AY399" s="83"/>
      <c r="AZ399" s="83"/>
      <c r="BA399" s="83"/>
      <c r="BB399" s="83"/>
      <c r="BC399" s="83"/>
      <c r="BD399" s="83"/>
      <c r="BE399" s="83"/>
      <c r="BF399" s="83"/>
      <c r="BG399" s="83"/>
      <c r="BH399" s="83"/>
      <c r="BI399" s="83"/>
      <c r="BJ399" s="83"/>
      <c r="BK399" s="83"/>
      <c r="BL399" s="83"/>
      <c r="BM399" s="83"/>
      <c r="BN399" s="83"/>
      <c r="BO399" s="83"/>
      <c r="BP399" s="83"/>
      <c r="BQ399" s="83"/>
      <c r="BR399" s="83"/>
      <c r="BS399" s="83"/>
      <c r="BT399" s="83"/>
      <c r="BU399" s="83"/>
    </row>
    <row r="400" spans="15:73"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3"/>
      <c r="AF400" s="83"/>
      <c r="AG400" s="83"/>
      <c r="AH400" s="83"/>
      <c r="AI400" s="83"/>
      <c r="AJ400" s="83"/>
      <c r="AK400" s="83"/>
      <c r="AL400" s="83"/>
      <c r="AM400" s="83"/>
      <c r="AN400" s="83"/>
      <c r="AO400" s="83"/>
      <c r="AP400" s="83"/>
      <c r="AQ400" s="83"/>
      <c r="AR400" s="83"/>
      <c r="AS400" s="83"/>
      <c r="AT400" s="83"/>
      <c r="AU400" s="83"/>
      <c r="AV400" s="83"/>
      <c r="AW400" s="83"/>
      <c r="AX400" s="83"/>
      <c r="AY400" s="83"/>
      <c r="AZ400" s="83"/>
      <c r="BA400" s="83"/>
      <c r="BB400" s="83"/>
      <c r="BC400" s="83"/>
      <c r="BD400" s="83"/>
      <c r="BE400" s="83"/>
      <c r="BF400" s="83"/>
      <c r="BG400" s="83"/>
      <c r="BH400" s="83"/>
      <c r="BI400" s="83"/>
      <c r="BJ400" s="83"/>
      <c r="BK400" s="83"/>
      <c r="BL400" s="83"/>
      <c r="BM400" s="83"/>
      <c r="BN400" s="83"/>
      <c r="BO400" s="83"/>
      <c r="BP400" s="83"/>
      <c r="BQ400" s="83"/>
      <c r="BR400" s="83"/>
      <c r="BS400" s="83"/>
      <c r="BT400" s="83"/>
      <c r="BU400" s="83"/>
    </row>
    <row r="401" spans="15:73"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  <c r="AE401" s="83"/>
      <c r="AF401" s="83"/>
      <c r="AG401" s="83"/>
      <c r="AH401" s="83"/>
      <c r="AI401" s="83"/>
      <c r="AJ401" s="83"/>
      <c r="AK401" s="83"/>
      <c r="AL401" s="83"/>
      <c r="AM401" s="83"/>
      <c r="AN401" s="83"/>
      <c r="AO401" s="83"/>
      <c r="AP401" s="83"/>
      <c r="AQ401" s="83"/>
      <c r="AR401" s="83"/>
      <c r="AS401" s="83"/>
      <c r="AT401" s="83"/>
      <c r="AU401" s="83"/>
      <c r="AV401" s="83"/>
      <c r="AW401" s="83"/>
      <c r="AX401" s="83"/>
      <c r="AY401" s="83"/>
      <c r="AZ401" s="83"/>
      <c r="BA401" s="83"/>
      <c r="BB401" s="83"/>
      <c r="BC401" s="83"/>
      <c r="BD401" s="83"/>
      <c r="BE401" s="83"/>
      <c r="BF401" s="83"/>
      <c r="BG401" s="83"/>
      <c r="BH401" s="83"/>
      <c r="BI401" s="83"/>
      <c r="BJ401" s="83"/>
      <c r="BK401" s="83"/>
      <c r="BL401" s="83"/>
      <c r="BM401" s="83"/>
      <c r="BN401" s="83"/>
      <c r="BO401" s="83"/>
      <c r="BP401" s="83"/>
      <c r="BQ401" s="83"/>
      <c r="BR401" s="83"/>
      <c r="BS401" s="83"/>
      <c r="BT401" s="83"/>
      <c r="BU401" s="83"/>
    </row>
    <row r="402" spans="15:73"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  <c r="AN402" s="83"/>
      <c r="AO402" s="83"/>
      <c r="AP402" s="83"/>
      <c r="AQ402" s="83"/>
      <c r="AR402" s="83"/>
      <c r="AS402" s="83"/>
      <c r="AT402" s="83"/>
      <c r="AU402" s="83"/>
      <c r="AV402" s="83"/>
      <c r="AW402" s="83"/>
      <c r="AX402" s="83"/>
      <c r="AY402" s="83"/>
      <c r="AZ402" s="83"/>
      <c r="BA402" s="83"/>
      <c r="BB402" s="83"/>
      <c r="BC402" s="83"/>
      <c r="BD402" s="83"/>
      <c r="BE402" s="83"/>
      <c r="BF402" s="83"/>
      <c r="BG402" s="83"/>
      <c r="BH402" s="83"/>
      <c r="BI402" s="83"/>
      <c r="BJ402" s="83"/>
      <c r="BK402" s="83"/>
      <c r="BL402" s="83"/>
      <c r="BM402" s="83"/>
      <c r="BN402" s="83"/>
      <c r="BO402" s="83"/>
      <c r="BP402" s="83"/>
      <c r="BQ402" s="83"/>
      <c r="BR402" s="83"/>
      <c r="BS402" s="83"/>
      <c r="BT402" s="83"/>
      <c r="BU402" s="83"/>
    </row>
    <row r="403" spans="15:73"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3"/>
      <c r="AF403" s="83"/>
      <c r="AG403" s="83"/>
      <c r="AH403" s="83"/>
      <c r="AI403" s="83"/>
      <c r="AJ403" s="83"/>
      <c r="AK403" s="83"/>
      <c r="AL403" s="83"/>
      <c r="AM403" s="83"/>
      <c r="AN403" s="83"/>
      <c r="AO403" s="83"/>
      <c r="AP403" s="83"/>
      <c r="AQ403" s="83"/>
      <c r="AR403" s="83"/>
      <c r="AS403" s="83"/>
      <c r="AT403" s="83"/>
      <c r="AU403" s="83"/>
      <c r="AV403" s="83"/>
      <c r="AW403" s="83"/>
      <c r="AX403" s="83"/>
      <c r="AY403" s="83"/>
      <c r="AZ403" s="83"/>
      <c r="BA403" s="83"/>
      <c r="BB403" s="83"/>
      <c r="BC403" s="83"/>
      <c r="BD403" s="83"/>
      <c r="BE403" s="83"/>
      <c r="BF403" s="83"/>
      <c r="BG403" s="83"/>
      <c r="BH403" s="83"/>
      <c r="BI403" s="83"/>
      <c r="BJ403" s="83"/>
      <c r="BK403" s="83"/>
      <c r="BL403" s="83"/>
      <c r="BM403" s="83"/>
      <c r="BN403" s="83"/>
      <c r="BO403" s="83"/>
      <c r="BP403" s="83"/>
      <c r="BQ403" s="83"/>
      <c r="BR403" s="83"/>
      <c r="BS403" s="83"/>
      <c r="BT403" s="83"/>
      <c r="BU403" s="83"/>
    </row>
    <row r="404" spans="15:73"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  <c r="AE404" s="83"/>
      <c r="AF404" s="83"/>
      <c r="AG404" s="83"/>
      <c r="AH404" s="83"/>
      <c r="AI404" s="83"/>
      <c r="AJ404" s="83"/>
      <c r="AK404" s="83"/>
      <c r="AL404" s="83"/>
      <c r="AM404" s="83"/>
      <c r="AN404" s="83"/>
      <c r="AO404" s="83"/>
      <c r="AP404" s="83"/>
      <c r="AQ404" s="83"/>
      <c r="AR404" s="83"/>
      <c r="AS404" s="83"/>
      <c r="AT404" s="83"/>
      <c r="AU404" s="83"/>
      <c r="AV404" s="83"/>
      <c r="AW404" s="83"/>
      <c r="AX404" s="83"/>
      <c r="AY404" s="83"/>
      <c r="AZ404" s="83"/>
      <c r="BA404" s="83"/>
      <c r="BB404" s="83"/>
      <c r="BC404" s="83"/>
      <c r="BD404" s="83"/>
      <c r="BE404" s="83"/>
      <c r="BF404" s="83"/>
      <c r="BG404" s="83"/>
      <c r="BH404" s="83"/>
      <c r="BI404" s="83"/>
      <c r="BJ404" s="83"/>
      <c r="BK404" s="83"/>
      <c r="BL404" s="83"/>
      <c r="BM404" s="83"/>
      <c r="BN404" s="83"/>
      <c r="BO404" s="83"/>
      <c r="BP404" s="83"/>
      <c r="BQ404" s="83"/>
      <c r="BR404" s="83"/>
      <c r="BS404" s="83"/>
      <c r="BT404" s="83"/>
      <c r="BU404" s="83"/>
    </row>
    <row r="405" spans="15:73"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  <c r="AE405" s="83"/>
      <c r="AF405" s="83"/>
      <c r="AG405" s="83"/>
      <c r="AH405" s="83"/>
      <c r="AI405" s="83"/>
      <c r="AJ405" s="83"/>
      <c r="AK405" s="83"/>
      <c r="AL405" s="83"/>
      <c r="AM405" s="83"/>
      <c r="AN405" s="83"/>
      <c r="AO405" s="83"/>
      <c r="AP405" s="83"/>
      <c r="AQ405" s="83"/>
      <c r="AR405" s="83"/>
      <c r="AS405" s="83"/>
      <c r="AT405" s="83"/>
      <c r="AU405" s="83"/>
      <c r="AV405" s="83"/>
      <c r="AW405" s="83"/>
      <c r="AX405" s="83"/>
      <c r="AY405" s="83"/>
      <c r="AZ405" s="83"/>
      <c r="BA405" s="83"/>
      <c r="BB405" s="83"/>
      <c r="BC405" s="83"/>
      <c r="BD405" s="83"/>
      <c r="BE405" s="83"/>
      <c r="BF405" s="83"/>
      <c r="BG405" s="83"/>
      <c r="BH405" s="83"/>
      <c r="BI405" s="83"/>
      <c r="BJ405" s="83"/>
      <c r="BK405" s="83"/>
      <c r="BL405" s="83"/>
      <c r="BM405" s="83"/>
      <c r="BN405" s="83"/>
      <c r="BO405" s="83"/>
      <c r="BP405" s="83"/>
      <c r="BQ405" s="83"/>
      <c r="BR405" s="83"/>
      <c r="BS405" s="83"/>
      <c r="BT405" s="83"/>
      <c r="BU405" s="83"/>
    </row>
    <row r="406" spans="15:73"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  <c r="AE406" s="83"/>
      <c r="AF406" s="83"/>
      <c r="AG406" s="83"/>
      <c r="AH406" s="83"/>
      <c r="AI406" s="83"/>
      <c r="AJ406" s="83"/>
      <c r="AK406" s="83"/>
      <c r="AL406" s="83"/>
      <c r="AM406" s="83"/>
      <c r="AN406" s="83"/>
      <c r="AO406" s="83"/>
      <c r="AP406" s="83"/>
      <c r="AQ406" s="83"/>
      <c r="AR406" s="83"/>
      <c r="AS406" s="83"/>
      <c r="AT406" s="83"/>
      <c r="AU406" s="83"/>
      <c r="AV406" s="83"/>
      <c r="AW406" s="83"/>
      <c r="AX406" s="83"/>
      <c r="AY406" s="83"/>
      <c r="AZ406" s="83"/>
      <c r="BA406" s="83"/>
      <c r="BB406" s="83"/>
      <c r="BC406" s="83"/>
      <c r="BD406" s="83"/>
      <c r="BE406" s="83"/>
      <c r="BF406" s="83"/>
      <c r="BG406" s="83"/>
      <c r="BH406" s="83"/>
      <c r="BI406" s="83"/>
      <c r="BJ406" s="83"/>
      <c r="BK406" s="83"/>
      <c r="BL406" s="83"/>
      <c r="BM406" s="83"/>
      <c r="BN406" s="83"/>
      <c r="BO406" s="83"/>
      <c r="BP406" s="83"/>
      <c r="BQ406" s="83"/>
      <c r="BR406" s="83"/>
      <c r="BS406" s="83"/>
      <c r="BT406" s="83"/>
      <c r="BU406" s="83"/>
    </row>
    <row r="407" spans="15:73"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  <c r="AE407" s="83"/>
      <c r="AF407" s="83"/>
      <c r="AG407" s="83"/>
      <c r="AH407" s="83"/>
      <c r="AI407" s="83"/>
      <c r="AJ407" s="83"/>
      <c r="AK407" s="83"/>
      <c r="AL407" s="83"/>
      <c r="AM407" s="83"/>
      <c r="AN407" s="83"/>
      <c r="AO407" s="83"/>
      <c r="AP407" s="83"/>
      <c r="AQ407" s="83"/>
      <c r="AR407" s="83"/>
      <c r="AS407" s="83"/>
      <c r="AT407" s="83"/>
      <c r="AU407" s="83"/>
      <c r="AV407" s="83"/>
      <c r="AW407" s="83"/>
      <c r="AX407" s="83"/>
      <c r="AY407" s="83"/>
      <c r="AZ407" s="83"/>
      <c r="BA407" s="83"/>
      <c r="BB407" s="83"/>
      <c r="BC407" s="83"/>
      <c r="BD407" s="83"/>
      <c r="BE407" s="83"/>
      <c r="BF407" s="83"/>
      <c r="BG407" s="83"/>
      <c r="BH407" s="83"/>
      <c r="BI407" s="83"/>
      <c r="BJ407" s="83"/>
      <c r="BK407" s="83"/>
      <c r="BL407" s="83"/>
      <c r="BM407" s="83"/>
      <c r="BN407" s="83"/>
      <c r="BO407" s="83"/>
      <c r="BP407" s="83"/>
      <c r="BQ407" s="83"/>
      <c r="BR407" s="83"/>
      <c r="BS407" s="83"/>
      <c r="BT407" s="83"/>
      <c r="BU407" s="83"/>
    </row>
    <row r="408" spans="15:73"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  <c r="AE408" s="83"/>
      <c r="AF408" s="83"/>
      <c r="AG408" s="83"/>
      <c r="AH408" s="83"/>
      <c r="AI408" s="83"/>
      <c r="AJ408" s="83"/>
      <c r="AK408" s="83"/>
      <c r="AL408" s="83"/>
      <c r="AM408" s="83"/>
      <c r="AN408" s="83"/>
      <c r="AO408" s="83"/>
      <c r="AP408" s="83"/>
      <c r="AQ408" s="83"/>
      <c r="AR408" s="83"/>
      <c r="AS408" s="83"/>
      <c r="AT408" s="83"/>
      <c r="AU408" s="83"/>
      <c r="AV408" s="83"/>
      <c r="AW408" s="83"/>
      <c r="AX408" s="83"/>
      <c r="AY408" s="83"/>
      <c r="AZ408" s="83"/>
      <c r="BA408" s="83"/>
      <c r="BB408" s="83"/>
      <c r="BC408" s="83"/>
      <c r="BD408" s="83"/>
      <c r="BE408" s="83"/>
      <c r="BF408" s="83"/>
      <c r="BG408" s="83"/>
      <c r="BH408" s="83"/>
      <c r="BI408" s="83"/>
      <c r="BJ408" s="83"/>
      <c r="BK408" s="83"/>
      <c r="BL408" s="83"/>
      <c r="BM408" s="83"/>
      <c r="BN408" s="83"/>
      <c r="BO408" s="83"/>
      <c r="BP408" s="83"/>
      <c r="BQ408" s="83"/>
      <c r="BR408" s="83"/>
      <c r="BS408" s="83"/>
      <c r="BT408" s="83"/>
      <c r="BU408" s="83"/>
    </row>
    <row r="409" spans="15:73"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  <c r="AE409" s="83"/>
      <c r="AF409" s="83"/>
      <c r="AG409" s="83"/>
      <c r="AH409" s="83"/>
      <c r="AI409" s="83"/>
      <c r="AJ409" s="83"/>
      <c r="AK409" s="83"/>
      <c r="AL409" s="83"/>
      <c r="AM409" s="83"/>
      <c r="AN409" s="83"/>
      <c r="AO409" s="83"/>
      <c r="AP409" s="83"/>
      <c r="AQ409" s="83"/>
      <c r="AR409" s="83"/>
      <c r="AS409" s="83"/>
      <c r="AT409" s="83"/>
      <c r="AU409" s="83"/>
      <c r="AV409" s="83"/>
      <c r="AW409" s="83"/>
      <c r="AX409" s="83"/>
      <c r="AY409" s="83"/>
      <c r="AZ409" s="83"/>
      <c r="BA409" s="83"/>
      <c r="BB409" s="83"/>
      <c r="BC409" s="83"/>
      <c r="BD409" s="83"/>
      <c r="BE409" s="83"/>
      <c r="BF409" s="83"/>
      <c r="BG409" s="83"/>
      <c r="BH409" s="83"/>
      <c r="BI409" s="83"/>
      <c r="BJ409" s="83"/>
      <c r="BK409" s="83"/>
      <c r="BL409" s="83"/>
      <c r="BM409" s="83"/>
      <c r="BN409" s="83"/>
      <c r="BO409" s="83"/>
      <c r="BP409" s="83"/>
      <c r="BQ409" s="83"/>
      <c r="BR409" s="83"/>
      <c r="BS409" s="83"/>
      <c r="BT409" s="83"/>
      <c r="BU409" s="83"/>
    </row>
    <row r="410" spans="15:73"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  <c r="AA410" s="83"/>
      <c r="AB410" s="83"/>
      <c r="AC410" s="83"/>
      <c r="AD410" s="83"/>
      <c r="AE410" s="83"/>
      <c r="AF410" s="83"/>
      <c r="AG410" s="83"/>
      <c r="AH410" s="83"/>
      <c r="AI410" s="83"/>
      <c r="AJ410" s="83"/>
      <c r="AK410" s="83"/>
      <c r="AL410" s="83"/>
      <c r="AM410" s="83"/>
      <c r="AN410" s="83"/>
      <c r="AO410" s="83"/>
      <c r="AP410" s="83"/>
      <c r="AQ410" s="83"/>
      <c r="AR410" s="83"/>
      <c r="AS410" s="83"/>
      <c r="AT410" s="83"/>
      <c r="AU410" s="83"/>
      <c r="AV410" s="83"/>
      <c r="AW410" s="83"/>
      <c r="AX410" s="83"/>
      <c r="AY410" s="83"/>
      <c r="AZ410" s="83"/>
      <c r="BA410" s="83"/>
      <c r="BB410" s="83"/>
      <c r="BC410" s="83"/>
      <c r="BD410" s="83"/>
      <c r="BE410" s="83"/>
      <c r="BF410" s="83"/>
      <c r="BG410" s="83"/>
      <c r="BH410" s="83"/>
      <c r="BI410" s="83"/>
      <c r="BJ410" s="83"/>
      <c r="BK410" s="83"/>
      <c r="BL410" s="83"/>
      <c r="BM410" s="83"/>
      <c r="BN410" s="83"/>
      <c r="BO410" s="83"/>
      <c r="BP410" s="83"/>
      <c r="BQ410" s="83"/>
      <c r="BR410" s="83"/>
      <c r="BS410" s="83"/>
      <c r="BT410" s="83"/>
      <c r="BU410" s="83"/>
    </row>
    <row r="411" spans="15:73"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  <c r="AA411" s="83"/>
      <c r="AB411" s="83"/>
      <c r="AC411" s="83"/>
      <c r="AD411" s="83"/>
      <c r="AE411" s="83"/>
      <c r="AF411" s="83"/>
      <c r="AG411" s="83"/>
      <c r="AH411" s="83"/>
      <c r="AI411" s="83"/>
      <c r="AJ411" s="83"/>
      <c r="AK411" s="83"/>
      <c r="AL411" s="83"/>
      <c r="AM411" s="83"/>
      <c r="AN411" s="83"/>
      <c r="AO411" s="83"/>
      <c r="AP411" s="83"/>
      <c r="AQ411" s="83"/>
      <c r="AR411" s="83"/>
      <c r="AS411" s="83"/>
      <c r="AT411" s="83"/>
      <c r="AU411" s="83"/>
      <c r="AV411" s="83"/>
      <c r="AW411" s="83"/>
      <c r="AX411" s="83"/>
      <c r="AY411" s="83"/>
      <c r="AZ411" s="83"/>
      <c r="BA411" s="83"/>
      <c r="BB411" s="83"/>
      <c r="BC411" s="83"/>
      <c r="BD411" s="83"/>
      <c r="BE411" s="83"/>
      <c r="BF411" s="83"/>
      <c r="BG411" s="83"/>
      <c r="BH411" s="83"/>
      <c r="BI411" s="83"/>
      <c r="BJ411" s="83"/>
      <c r="BK411" s="83"/>
      <c r="BL411" s="83"/>
      <c r="BM411" s="83"/>
      <c r="BN411" s="83"/>
      <c r="BO411" s="83"/>
      <c r="BP411" s="83"/>
      <c r="BQ411" s="83"/>
      <c r="BR411" s="83"/>
      <c r="BS411" s="83"/>
      <c r="BT411" s="83"/>
      <c r="BU411" s="83"/>
    </row>
    <row r="412" spans="15:73"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  <c r="AA412" s="83"/>
      <c r="AB412" s="83"/>
      <c r="AC412" s="83"/>
      <c r="AD412" s="83"/>
      <c r="AE412" s="83"/>
      <c r="AF412" s="83"/>
      <c r="AG412" s="83"/>
      <c r="AH412" s="83"/>
      <c r="AI412" s="83"/>
      <c r="AJ412" s="83"/>
      <c r="AK412" s="83"/>
      <c r="AL412" s="83"/>
      <c r="AM412" s="83"/>
      <c r="AN412" s="83"/>
      <c r="AO412" s="83"/>
      <c r="AP412" s="83"/>
      <c r="AQ412" s="83"/>
      <c r="AR412" s="83"/>
      <c r="AS412" s="83"/>
      <c r="AT412" s="83"/>
      <c r="AU412" s="83"/>
      <c r="AV412" s="83"/>
      <c r="AW412" s="83"/>
      <c r="AX412" s="83"/>
      <c r="AY412" s="83"/>
      <c r="AZ412" s="83"/>
      <c r="BA412" s="83"/>
      <c r="BB412" s="83"/>
      <c r="BC412" s="83"/>
      <c r="BD412" s="83"/>
      <c r="BE412" s="83"/>
      <c r="BF412" s="83"/>
      <c r="BG412" s="83"/>
      <c r="BH412" s="83"/>
      <c r="BI412" s="83"/>
      <c r="BJ412" s="83"/>
      <c r="BK412" s="83"/>
      <c r="BL412" s="83"/>
      <c r="BM412" s="83"/>
      <c r="BN412" s="83"/>
      <c r="BO412" s="83"/>
      <c r="BP412" s="83"/>
      <c r="BQ412" s="83"/>
      <c r="BR412" s="83"/>
      <c r="BS412" s="83"/>
      <c r="BT412" s="83"/>
      <c r="BU412" s="83"/>
    </row>
    <row r="413" spans="15:73"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  <c r="AE413" s="83"/>
      <c r="AF413" s="83"/>
      <c r="AG413" s="83"/>
      <c r="AH413" s="83"/>
      <c r="AI413" s="83"/>
      <c r="AJ413" s="83"/>
      <c r="AK413" s="83"/>
      <c r="AL413" s="83"/>
      <c r="AM413" s="83"/>
      <c r="AN413" s="83"/>
      <c r="AO413" s="83"/>
      <c r="AP413" s="83"/>
      <c r="AQ413" s="83"/>
      <c r="AR413" s="83"/>
      <c r="AS413" s="83"/>
      <c r="AT413" s="83"/>
      <c r="AU413" s="83"/>
      <c r="AV413" s="83"/>
      <c r="AW413" s="83"/>
      <c r="AX413" s="83"/>
      <c r="AY413" s="83"/>
      <c r="AZ413" s="83"/>
      <c r="BA413" s="83"/>
      <c r="BB413" s="83"/>
      <c r="BC413" s="83"/>
      <c r="BD413" s="83"/>
      <c r="BE413" s="83"/>
      <c r="BF413" s="83"/>
      <c r="BG413" s="83"/>
      <c r="BH413" s="83"/>
      <c r="BI413" s="83"/>
      <c r="BJ413" s="83"/>
      <c r="BK413" s="83"/>
      <c r="BL413" s="83"/>
      <c r="BM413" s="83"/>
      <c r="BN413" s="83"/>
      <c r="BO413" s="83"/>
      <c r="BP413" s="83"/>
      <c r="BQ413" s="83"/>
      <c r="BR413" s="83"/>
      <c r="BS413" s="83"/>
      <c r="BT413" s="83"/>
      <c r="BU413" s="83"/>
    </row>
    <row r="414" spans="15:73"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  <c r="AC414" s="83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  <c r="AN414" s="83"/>
      <c r="AO414" s="83"/>
      <c r="AP414" s="83"/>
      <c r="AQ414" s="83"/>
      <c r="AR414" s="83"/>
      <c r="AS414" s="83"/>
      <c r="AT414" s="83"/>
      <c r="AU414" s="83"/>
      <c r="AV414" s="83"/>
      <c r="AW414" s="83"/>
      <c r="AX414" s="83"/>
      <c r="AY414" s="83"/>
      <c r="AZ414" s="83"/>
      <c r="BA414" s="83"/>
      <c r="BB414" s="83"/>
      <c r="BC414" s="83"/>
      <c r="BD414" s="83"/>
      <c r="BE414" s="83"/>
      <c r="BF414" s="83"/>
      <c r="BG414" s="83"/>
      <c r="BH414" s="83"/>
      <c r="BI414" s="83"/>
      <c r="BJ414" s="83"/>
      <c r="BK414" s="83"/>
      <c r="BL414" s="83"/>
      <c r="BM414" s="83"/>
      <c r="BN414" s="83"/>
      <c r="BO414" s="83"/>
      <c r="BP414" s="83"/>
      <c r="BQ414" s="83"/>
      <c r="BR414" s="83"/>
      <c r="BS414" s="83"/>
      <c r="BT414" s="83"/>
      <c r="BU414" s="83"/>
    </row>
    <row r="415" spans="15:73"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  <c r="AE415" s="83"/>
      <c r="AF415" s="83"/>
      <c r="AG415" s="83"/>
      <c r="AH415" s="83"/>
      <c r="AI415" s="83"/>
      <c r="AJ415" s="83"/>
      <c r="AK415" s="83"/>
      <c r="AL415" s="83"/>
      <c r="AM415" s="83"/>
      <c r="AN415" s="83"/>
      <c r="AO415" s="83"/>
      <c r="AP415" s="83"/>
      <c r="AQ415" s="83"/>
      <c r="AR415" s="83"/>
      <c r="AS415" s="83"/>
      <c r="AT415" s="83"/>
      <c r="AU415" s="83"/>
      <c r="AV415" s="83"/>
      <c r="AW415" s="83"/>
      <c r="AX415" s="83"/>
      <c r="AY415" s="83"/>
      <c r="AZ415" s="83"/>
      <c r="BA415" s="83"/>
      <c r="BB415" s="83"/>
      <c r="BC415" s="83"/>
      <c r="BD415" s="83"/>
      <c r="BE415" s="83"/>
      <c r="BF415" s="83"/>
      <c r="BG415" s="83"/>
      <c r="BH415" s="83"/>
      <c r="BI415" s="83"/>
      <c r="BJ415" s="83"/>
      <c r="BK415" s="83"/>
      <c r="BL415" s="83"/>
      <c r="BM415" s="83"/>
      <c r="BN415" s="83"/>
      <c r="BO415" s="83"/>
      <c r="BP415" s="83"/>
      <c r="BQ415" s="83"/>
      <c r="BR415" s="83"/>
      <c r="BS415" s="83"/>
      <c r="BT415" s="83"/>
      <c r="BU415" s="83"/>
    </row>
    <row r="416" spans="15:73"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  <c r="AN416" s="83"/>
      <c r="AO416" s="83"/>
      <c r="AP416" s="83"/>
      <c r="AQ416" s="83"/>
      <c r="AR416" s="83"/>
      <c r="AS416" s="83"/>
      <c r="AT416" s="83"/>
      <c r="AU416" s="83"/>
      <c r="AV416" s="83"/>
      <c r="AW416" s="83"/>
      <c r="AX416" s="83"/>
      <c r="AY416" s="83"/>
      <c r="AZ416" s="83"/>
      <c r="BA416" s="83"/>
      <c r="BB416" s="83"/>
      <c r="BC416" s="83"/>
      <c r="BD416" s="83"/>
      <c r="BE416" s="83"/>
      <c r="BF416" s="83"/>
      <c r="BG416" s="83"/>
      <c r="BH416" s="83"/>
      <c r="BI416" s="83"/>
      <c r="BJ416" s="83"/>
      <c r="BK416" s="83"/>
      <c r="BL416" s="83"/>
      <c r="BM416" s="83"/>
      <c r="BN416" s="83"/>
      <c r="BO416" s="83"/>
      <c r="BP416" s="83"/>
      <c r="BQ416" s="83"/>
      <c r="BR416" s="83"/>
      <c r="BS416" s="83"/>
      <c r="BT416" s="83"/>
      <c r="BU416" s="83"/>
    </row>
    <row r="417" spans="15:73"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  <c r="AE417" s="83"/>
      <c r="AF417" s="83"/>
      <c r="AG417" s="83"/>
      <c r="AH417" s="83"/>
      <c r="AI417" s="83"/>
      <c r="AJ417" s="83"/>
      <c r="AK417" s="83"/>
      <c r="AL417" s="83"/>
      <c r="AM417" s="83"/>
      <c r="AN417" s="83"/>
      <c r="AO417" s="83"/>
      <c r="AP417" s="83"/>
      <c r="AQ417" s="83"/>
      <c r="AR417" s="83"/>
      <c r="AS417" s="83"/>
      <c r="AT417" s="83"/>
      <c r="AU417" s="83"/>
      <c r="AV417" s="83"/>
      <c r="AW417" s="83"/>
      <c r="AX417" s="83"/>
      <c r="AY417" s="83"/>
      <c r="AZ417" s="83"/>
      <c r="BA417" s="83"/>
      <c r="BB417" s="83"/>
      <c r="BC417" s="83"/>
      <c r="BD417" s="83"/>
      <c r="BE417" s="83"/>
      <c r="BF417" s="83"/>
      <c r="BG417" s="83"/>
      <c r="BH417" s="83"/>
      <c r="BI417" s="83"/>
      <c r="BJ417" s="83"/>
      <c r="BK417" s="83"/>
      <c r="BL417" s="83"/>
      <c r="BM417" s="83"/>
      <c r="BN417" s="83"/>
      <c r="BO417" s="83"/>
      <c r="BP417" s="83"/>
      <c r="BQ417" s="83"/>
      <c r="BR417" s="83"/>
      <c r="BS417" s="83"/>
      <c r="BT417" s="83"/>
      <c r="BU417" s="83"/>
    </row>
    <row r="418" spans="15:73"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3"/>
      <c r="AF418" s="83"/>
      <c r="AG418" s="83"/>
      <c r="AH418" s="83"/>
      <c r="AI418" s="83"/>
      <c r="AJ418" s="83"/>
      <c r="AK418" s="83"/>
      <c r="AL418" s="83"/>
      <c r="AM418" s="83"/>
      <c r="AN418" s="83"/>
      <c r="AO418" s="83"/>
      <c r="AP418" s="83"/>
      <c r="AQ418" s="83"/>
      <c r="AR418" s="83"/>
      <c r="AS418" s="83"/>
      <c r="AT418" s="83"/>
      <c r="AU418" s="83"/>
      <c r="AV418" s="83"/>
      <c r="AW418" s="83"/>
      <c r="AX418" s="83"/>
      <c r="AY418" s="83"/>
      <c r="AZ418" s="83"/>
      <c r="BA418" s="83"/>
      <c r="BB418" s="83"/>
      <c r="BC418" s="83"/>
      <c r="BD418" s="83"/>
      <c r="BE418" s="83"/>
      <c r="BF418" s="83"/>
      <c r="BG418" s="83"/>
      <c r="BH418" s="83"/>
      <c r="BI418" s="83"/>
      <c r="BJ418" s="83"/>
      <c r="BK418" s="83"/>
      <c r="BL418" s="83"/>
      <c r="BM418" s="83"/>
      <c r="BN418" s="83"/>
      <c r="BO418" s="83"/>
      <c r="BP418" s="83"/>
      <c r="BQ418" s="83"/>
      <c r="BR418" s="83"/>
      <c r="BS418" s="83"/>
      <c r="BT418" s="83"/>
      <c r="BU418" s="83"/>
    </row>
    <row r="419" spans="15:73"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  <c r="AN419" s="83"/>
      <c r="AO419" s="83"/>
      <c r="AP419" s="83"/>
      <c r="AQ419" s="83"/>
      <c r="AR419" s="83"/>
      <c r="AS419" s="83"/>
      <c r="AT419" s="83"/>
      <c r="AU419" s="83"/>
      <c r="AV419" s="83"/>
      <c r="AW419" s="83"/>
      <c r="AX419" s="83"/>
      <c r="AY419" s="83"/>
      <c r="AZ419" s="83"/>
      <c r="BA419" s="83"/>
      <c r="BB419" s="83"/>
      <c r="BC419" s="83"/>
      <c r="BD419" s="83"/>
      <c r="BE419" s="83"/>
      <c r="BF419" s="83"/>
      <c r="BG419" s="83"/>
      <c r="BH419" s="83"/>
      <c r="BI419" s="83"/>
      <c r="BJ419" s="83"/>
      <c r="BK419" s="83"/>
      <c r="BL419" s="83"/>
      <c r="BM419" s="83"/>
      <c r="BN419" s="83"/>
      <c r="BO419" s="83"/>
      <c r="BP419" s="83"/>
      <c r="BQ419" s="83"/>
      <c r="BR419" s="83"/>
      <c r="BS419" s="83"/>
      <c r="BT419" s="83"/>
      <c r="BU419" s="83"/>
    </row>
    <row r="420" spans="15:73"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  <c r="AX420" s="83"/>
      <c r="AY420" s="83"/>
      <c r="AZ420" s="83"/>
      <c r="BA420" s="83"/>
      <c r="BB420" s="83"/>
      <c r="BC420" s="83"/>
      <c r="BD420" s="83"/>
      <c r="BE420" s="83"/>
      <c r="BF420" s="83"/>
      <c r="BG420" s="83"/>
      <c r="BH420" s="83"/>
      <c r="BI420" s="83"/>
      <c r="BJ420" s="83"/>
      <c r="BK420" s="83"/>
      <c r="BL420" s="83"/>
      <c r="BM420" s="83"/>
      <c r="BN420" s="83"/>
      <c r="BO420" s="83"/>
      <c r="BP420" s="83"/>
      <c r="BQ420" s="83"/>
      <c r="BR420" s="83"/>
      <c r="BS420" s="83"/>
      <c r="BT420" s="83"/>
      <c r="BU420" s="83"/>
    </row>
    <row r="421" spans="15:73"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  <c r="AV421" s="83"/>
      <c r="AW421" s="83"/>
      <c r="AX421" s="83"/>
      <c r="AY421" s="83"/>
      <c r="AZ421" s="83"/>
      <c r="BA421" s="83"/>
      <c r="BB421" s="83"/>
      <c r="BC421" s="83"/>
      <c r="BD421" s="83"/>
      <c r="BE421" s="83"/>
      <c r="BF421" s="83"/>
      <c r="BG421" s="83"/>
      <c r="BH421" s="83"/>
      <c r="BI421" s="83"/>
      <c r="BJ421" s="83"/>
      <c r="BK421" s="83"/>
      <c r="BL421" s="83"/>
      <c r="BM421" s="83"/>
      <c r="BN421" s="83"/>
      <c r="BO421" s="83"/>
      <c r="BP421" s="83"/>
      <c r="BQ421" s="83"/>
      <c r="BR421" s="83"/>
      <c r="BS421" s="83"/>
      <c r="BT421" s="83"/>
      <c r="BU421" s="83"/>
    </row>
    <row r="422" spans="15:73"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H422" s="83"/>
      <c r="BI422" s="83"/>
      <c r="BJ422" s="83"/>
      <c r="BK422" s="83"/>
      <c r="BL422" s="83"/>
      <c r="BM422" s="83"/>
      <c r="BN422" s="83"/>
      <c r="BO422" s="83"/>
      <c r="BP422" s="83"/>
      <c r="BQ422" s="83"/>
      <c r="BR422" s="83"/>
      <c r="BS422" s="83"/>
      <c r="BT422" s="83"/>
      <c r="BU422" s="83"/>
    </row>
    <row r="423" spans="15:73"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H423" s="83"/>
      <c r="BI423" s="83"/>
      <c r="BJ423" s="83"/>
      <c r="BK423" s="83"/>
      <c r="BL423" s="83"/>
      <c r="BM423" s="83"/>
      <c r="BN423" s="83"/>
      <c r="BO423" s="83"/>
      <c r="BP423" s="83"/>
      <c r="BQ423" s="83"/>
      <c r="BR423" s="83"/>
      <c r="BS423" s="83"/>
      <c r="BT423" s="83"/>
      <c r="BU423" s="83"/>
    </row>
    <row r="424" spans="15:73"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H424" s="83"/>
      <c r="BI424" s="83"/>
      <c r="BJ424" s="83"/>
      <c r="BK424" s="83"/>
      <c r="BL424" s="83"/>
      <c r="BM424" s="83"/>
      <c r="BN424" s="83"/>
      <c r="BO424" s="83"/>
      <c r="BP424" s="83"/>
      <c r="BQ424" s="83"/>
      <c r="BR424" s="83"/>
      <c r="BS424" s="83"/>
      <c r="BT424" s="83"/>
      <c r="BU424" s="83"/>
    </row>
    <row r="425" spans="15:73"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  <c r="AV425" s="83"/>
      <c r="AW425" s="83"/>
      <c r="AX425" s="83"/>
      <c r="AY425" s="83"/>
      <c r="AZ425" s="83"/>
      <c r="BA425" s="83"/>
      <c r="BB425" s="83"/>
      <c r="BC425" s="83"/>
      <c r="BD425" s="83"/>
      <c r="BE425" s="83"/>
      <c r="BF425" s="83"/>
      <c r="BG425" s="83"/>
      <c r="BH425" s="83"/>
      <c r="BI425" s="83"/>
      <c r="BJ425" s="83"/>
      <c r="BK425" s="83"/>
      <c r="BL425" s="83"/>
      <c r="BM425" s="83"/>
      <c r="BN425" s="83"/>
      <c r="BO425" s="83"/>
      <c r="BP425" s="83"/>
      <c r="BQ425" s="83"/>
      <c r="BR425" s="83"/>
      <c r="BS425" s="83"/>
      <c r="BT425" s="83"/>
      <c r="BU425" s="83"/>
    </row>
    <row r="426" spans="15:73"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  <c r="BA426" s="83"/>
      <c r="BB426" s="83"/>
      <c r="BC426" s="83"/>
      <c r="BD426" s="83"/>
      <c r="BE426" s="83"/>
      <c r="BF426" s="83"/>
      <c r="BG426" s="83"/>
      <c r="BH426" s="83"/>
      <c r="BI426" s="83"/>
      <c r="BJ426" s="83"/>
      <c r="BK426" s="83"/>
      <c r="BL426" s="83"/>
      <c r="BM426" s="83"/>
      <c r="BN426" s="83"/>
      <c r="BO426" s="83"/>
      <c r="BP426" s="83"/>
      <c r="BQ426" s="83"/>
      <c r="BR426" s="83"/>
      <c r="BS426" s="83"/>
      <c r="BT426" s="83"/>
      <c r="BU426" s="83"/>
    </row>
    <row r="427" spans="15:73"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  <c r="BA427" s="83"/>
      <c r="BB427" s="83"/>
      <c r="BC427" s="83"/>
      <c r="BD427" s="83"/>
      <c r="BE427" s="83"/>
      <c r="BF427" s="83"/>
      <c r="BG427" s="83"/>
      <c r="BH427" s="83"/>
      <c r="BI427" s="83"/>
      <c r="BJ427" s="83"/>
      <c r="BK427" s="83"/>
      <c r="BL427" s="83"/>
      <c r="BM427" s="83"/>
      <c r="BN427" s="83"/>
      <c r="BO427" s="83"/>
      <c r="BP427" s="83"/>
      <c r="BQ427" s="83"/>
      <c r="BR427" s="83"/>
      <c r="BS427" s="83"/>
      <c r="BT427" s="83"/>
      <c r="BU427" s="83"/>
    </row>
    <row r="428" spans="15:73"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  <c r="BA428" s="83"/>
      <c r="BB428" s="83"/>
      <c r="BC428" s="83"/>
      <c r="BD428" s="83"/>
      <c r="BE428" s="83"/>
      <c r="BF428" s="83"/>
      <c r="BG428" s="83"/>
      <c r="BH428" s="83"/>
      <c r="BI428" s="83"/>
      <c r="BJ428" s="83"/>
      <c r="BK428" s="83"/>
      <c r="BL428" s="83"/>
      <c r="BM428" s="83"/>
      <c r="BN428" s="83"/>
      <c r="BO428" s="83"/>
      <c r="BP428" s="83"/>
      <c r="BQ428" s="83"/>
      <c r="BR428" s="83"/>
      <c r="BS428" s="83"/>
      <c r="BT428" s="83"/>
      <c r="BU428" s="83"/>
    </row>
    <row r="429" spans="15:73"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  <c r="BA429" s="83"/>
      <c r="BB429" s="83"/>
      <c r="BC429" s="83"/>
      <c r="BD429" s="83"/>
      <c r="BE429" s="83"/>
      <c r="BF429" s="83"/>
      <c r="BG429" s="83"/>
      <c r="BH429" s="83"/>
      <c r="BI429" s="83"/>
      <c r="BJ429" s="83"/>
      <c r="BK429" s="83"/>
      <c r="BL429" s="83"/>
      <c r="BM429" s="83"/>
      <c r="BN429" s="83"/>
      <c r="BO429" s="83"/>
      <c r="BP429" s="83"/>
      <c r="BQ429" s="83"/>
      <c r="BR429" s="83"/>
      <c r="BS429" s="83"/>
      <c r="BT429" s="83"/>
      <c r="BU429" s="83"/>
    </row>
    <row r="430" spans="15:73"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  <c r="AV430" s="83"/>
      <c r="AW430" s="83"/>
      <c r="AX430" s="83"/>
      <c r="AY430" s="83"/>
      <c r="AZ430" s="83"/>
      <c r="BA430" s="83"/>
      <c r="BB430" s="83"/>
      <c r="BC430" s="83"/>
      <c r="BD430" s="83"/>
      <c r="BE430" s="83"/>
      <c r="BF430" s="83"/>
      <c r="BG430" s="83"/>
      <c r="BH430" s="83"/>
      <c r="BI430" s="83"/>
      <c r="BJ430" s="83"/>
      <c r="BK430" s="83"/>
      <c r="BL430" s="83"/>
      <c r="BM430" s="83"/>
      <c r="BN430" s="83"/>
      <c r="BO430" s="83"/>
      <c r="BP430" s="83"/>
      <c r="BQ430" s="83"/>
      <c r="BR430" s="83"/>
      <c r="BS430" s="83"/>
      <c r="BT430" s="83"/>
      <c r="BU430" s="83"/>
    </row>
    <row r="431" spans="15:73"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  <c r="BI431" s="83"/>
      <c r="BJ431" s="83"/>
      <c r="BK431" s="83"/>
      <c r="BL431" s="83"/>
      <c r="BM431" s="83"/>
      <c r="BN431" s="83"/>
      <c r="BO431" s="83"/>
      <c r="BP431" s="83"/>
      <c r="BQ431" s="83"/>
      <c r="BR431" s="83"/>
      <c r="BS431" s="83"/>
      <c r="BT431" s="83"/>
      <c r="BU431" s="83"/>
    </row>
    <row r="432" spans="15:73"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  <c r="BI432" s="83"/>
      <c r="BJ432" s="83"/>
      <c r="BK432" s="83"/>
      <c r="BL432" s="83"/>
      <c r="BM432" s="83"/>
      <c r="BN432" s="83"/>
      <c r="BO432" s="83"/>
      <c r="BP432" s="83"/>
      <c r="BQ432" s="83"/>
      <c r="BR432" s="83"/>
      <c r="BS432" s="83"/>
      <c r="BT432" s="83"/>
      <c r="BU432" s="83"/>
    </row>
    <row r="433" spans="15:73"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  <c r="BI433" s="83"/>
      <c r="BJ433" s="83"/>
      <c r="BK433" s="83"/>
      <c r="BL433" s="83"/>
      <c r="BM433" s="83"/>
      <c r="BN433" s="83"/>
      <c r="BO433" s="83"/>
      <c r="BP433" s="83"/>
      <c r="BQ433" s="83"/>
      <c r="BR433" s="83"/>
      <c r="BS433" s="83"/>
      <c r="BT433" s="83"/>
      <c r="BU433" s="83"/>
    </row>
    <row r="434" spans="15:73"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  <c r="BI434" s="83"/>
      <c r="BJ434" s="83"/>
      <c r="BK434" s="83"/>
      <c r="BL434" s="83"/>
      <c r="BM434" s="83"/>
      <c r="BN434" s="83"/>
      <c r="BO434" s="83"/>
      <c r="BP434" s="83"/>
      <c r="BQ434" s="83"/>
      <c r="BR434" s="83"/>
      <c r="BS434" s="83"/>
      <c r="BT434" s="83"/>
      <c r="BU434" s="83"/>
    </row>
    <row r="435" spans="15:73"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  <c r="BI435" s="83"/>
      <c r="BJ435" s="83"/>
      <c r="BK435" s="83"/>
      <c r="BL435" s="83"/>
      <c r="BM435" s="83"/>
      <c r="BN435" s="83"/>
      <c r="BO435" s="83"/>
      <c r="BP435" s="83"/>
      <c r="BQ435" s="83"/>
      <c r="BR435" s="83"/>
      <c r="BS435" s="83"/>
      <c r="BT435" s="83"/>
      <c r="BU435" s="83"/>
    </row>
    <row r="436" spans="15:73"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  <c r="BI436" s="83"/>
      <c r="BJ436" s="83"/>
      <c r="BK436" s="83"/>
      <c r="BL436" s="83"/>
      <c r="BM436" s="83"/>
      <c r="BN436" s="83"/>
      <c r="BO436" s="83"/>
      <c r="BP436" s="83"/>
      <c r="BQ436" s="83"/>
      <c r="BR436" s="83"/>
      <c r="BS436" s="83"/>
      <c r="BT436" s="83"/>
      <c r="BU436" s="83"/>
    </row>
    <row r="437" spans="15:73"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  <c r="BI437" s="83"/>
      <c r="BJ437" s="83"/>
      <c r="BK437" s="83"/>
      <c r="BL437" s="83"/>
      <c r="BM437" s="83"/>
      <c r="BN437" s="83"/>
      <c r="BO437" s="83"/>
      <c r="BP437" s="83"/>
      <c r="BQ437" s="83"/>
      <c r="BR437" s="83"/>
      <c r="BS437" s="83"/>
      <c r="BT437" s="83"/>
      <c r="BU437" s="83"/>
    </row>
    <row r="438" spans="15:73"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  <c r="BI438" s="83"/>
      <c r="BJ438" s="83"/>
      <c r="BK438" s="83"/>
      <c r="BL438" s="83"/>
      <c r="BM438" s="83"/>
      <c r="BN438" s="83"/>
      <c r="BO438" s="83"/>
      <c r="BP438" s="83"/>
      <c r="BQ438" s="83"/>
      <c r="BR438" s="83"/>
      <c r="BS438" s="83"/>
      <c r="BT438" s="83"/>
      <c r="BU438" s="83"/>
    </row>
    <row r="439" spans="15:73"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  <c r="BI439" s="83"/>
      <c r="BJ439" s="83"/>
      <c r="BK439" s="83"/>
      <c r="BL439" s="83"/>
      <c r="BM439" s="83"/>
      <c r="BN439" s="83"/>
      <c r="BO439" s="83"/>
      <c r="BP439" s="83"/>
      <c r="BQ439" s="83"/>
      <c r="BR439" s="83"/>
      <c r="BS439" s="83"/>
      <c r="BT439" s="83"/>
      <c r="BU439" s="83"/>
    </row>
    <row r="440" spans="15:73"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  <c r="BI440" s="83"/>
      <c r="BJ440" s="83"/>
      <c r="BK440" s="83"/>
      <c r="BL440" s="83"/>
      <c r="BM440" s="83"/>
      <c r="BN440" s="83"/>
      <c r="BO440" s="83"/>
      <c r="BP440" s="83"/>
      <c r="BQ440" s="83"/>
      <c r="BR440" s="83"/>
      <c r="BS440" s="83"/>
      <c r="BT440" s="83"/>
      <c r="BU440" s="83"/>
    </row>
    <row r="441" spans="15:73"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  <c r="BI441" s="83"/>
      <c r="BJ441" s="83"/>
      <c r="BK441" s="83"/>
      <c r="BL441" s="83"/>
      <c r="BM441" s="83"/>
      <c r="BN441" s="83"/>
      <c r="BO441" s="83"/>
      <c r="BP441" s="83"/>
      <c r="BQ441" s="83"/>
      <c r="BR441" s="83"/>
      <c r="BS441" s="83"/>
      <c r="BT441" s="83"/>
      <c r="BU441" s="83"/>
    </row>
    <row r="442" spans="15:73"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  <c r="BI442" s="83"/>
      <c r="BJ442" s="83"/>
      <c r="BK442" s="83"/>
      <c r="BL442" s="83"/>
      <c r="BM442" s="83"/>
      <c r="BN442" s="83"/>
      <c r="BO442" s="83"/>
      <c r="BP442" s="83"/>
      <c r="BQ442" s="83"/>
      <c r="BR442" s="83"/>
      <c r="BS442" s="83"/>
      <c r="BT442" s="83"/>
      <c r="BU442" s="83"/>
    </row>
    <row r="443" spans="15:73"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  <c r="BI443" s="83"/>
      <c r="BJ443" s="83"/>
      <c r="BK443" s="83"/>
      <c r="BL443" s="83"/>
      <c r="BM443" s="83"/>
      <c r="BN443" s="83"/>
      <c r="BO443" s="83"/>
      <c r="BP443" s="83"/>
      <c r="BQ443" s="83"/>
      <c r="BR443" s="83"/>
      <c r="BS443" s="83"/>
      <c r="BT443" s="83"/>
      <c r="BU443" s="83"/>
    </row>
    <row r="444" spans="15:73"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  <c r="BI444" s="83"/>
      <c r="BJ444" s="83"/>
      <c r="BK444" s="83"/>
      <c r="BL444" s="83"/>
      <c r="BM444" s="83"/>
      <c r="BN444" s="83"/>
      <c r="BO444" s="83"/>
      <c r="BP444" s="83"/>
      <c r="BQ444" s="83"/>
      <c r="BR444" s="83"/>
      <c r="BS444" s="83"/>
      <c r="BT444" s="83"/>
      <c r="BU444" s="83"/>
    </row>
    <row r="445" spans="15:73"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  <c r="BI445" s="83"/>
      <c r="BJ445" s="83"/>
      <c r="BK445" s="83"/>
      <c r="BL445" s="83"/>
      <c r="BM445" s="83"/>
      <c r="BN445" s="83"/>
      <c r="BO445" s="83"/>
      <c r="BP445" s="83"/>
      <c r="BQ445" s="83"/>
      <c r="BR445" s="83"/>
      <c r="BS445" s="83"/>
      <c r="BT445" s="83"/>
      <c r="BU445" s="83"/>
    </row>
    <row r="446" spans="15:73"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  <c r="BA446" s="83"/>
      <c r="BB446" s="83"/>
      <c r="BC446" s="83"/>
      <c r="BD446" s="83"/>
      <c r="BE446" s="83"/>
      <c r="BF446" s="83"/>
      <c r="BG446" s="83"/>
      <c r="BH446" s="83"/>
      <c r="BI446" s="83"/>
      <c r="BJ446" s="83"/>
      <c r="BK446" s="83"/>
      <c r="BL446" s="83"/>
      <c r="BM446" s="83"/>
      <c r="BN446" s="83"/>
      <c r="BO446" s="83"/>
      <c r="BP446" s="83"/>
      <c r="BQ446" s="83"/>
      <c r="BR446" s="83"/>
      <c r="BS446" s="83"/>
      <c r="BT446" s="83"/>
      <c r="BU446" s="83"/>
    </row>
    <row r="447" spans="15:73"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  <c r="AV447" s="83"/>
      <c r="AW447" s="83"/>
      <c r="AX447" s="83"/>
      <c r="AY447" s="83"/>
      <c r="AZ447" s="83"/>
      <c r="BA447" s="83"/>
      <c r="BB447" s="83"/>
      <c r="BC447" s="83"/>
      <c r="BD447" s="83"/>
      <c r="BE447" s="83"/>
      <c r="BF447" s="83"/>
      <c r="BG447" s="83"/>
      <c r="BH447" s="83"/>
      <c r="BI447" s="83"/>
      <c r="BJ447" s="83"/>
      <c r="BK447" s="83"/>
      <c r="BL447" s="83"/>
      <c r="BM447" s="83"/>
      <c r="BN447" s="83"/>
      <c r="BO447" s="83"/>
      <c r="BP447" s="83"/>
      <c r="BQ447" s="83"/>
      <c r="BR447" s="83"/>
      <c r="BS447" s="83"/>
      <c r="BT447" s="83"/>
      <c r="BU447" s="83"/>
    </row>
    <row r="448" spans="15:73"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  <c r="AV448" s="83"/>
      <c r="AW448" s="83"/>
      <c r="AX448" s="83"/>
      <c r="AY448" s="83"/>
      <c r="AZ448" s="83"/>
      <c r="BA448" s="83"/>
      <c r="BB448" s="83"/>
      <c r="BC448" s="83"/>
      <c r="BD448" s="83"/>
      <c r="BE448" s="83"/>
      <c r="BF448" s="83"/>
      <c r="BG448" s="83"/>
      <c r="BH448" s="83"/>
      <c r="BI448" s="83"/>
      <c r="BJ448" s="83"/>
      <c r="BK448" s="83"/>
      <c r="BL448" s="83"/>
      <c r="BM448" s="83"/>
      <c r="BN448" s="83"/>
      <c r="BO448" s="83"/>
      <c r="BP448" s="83"/>
      <c r="BQ448" s="83"/>
      <c r="BR448" s="83"/>
      <c r="BS448" s="83"/>
      <c r="BT448" s="83"/>
      <c r="BU448" s="83"/>
    </row>
    <row r="449" spans="15:73"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  <c r="AV449" s="83"/>
      <c r="AW449" s="83"/>
      <c r="AX449" s="83"/>
      <c r="AY449" s="83"/>
      <c r="AZ449" s="83"/>
      <c r="BA449" s="83"/>
      <c r="BB449" s="83"/>
      <c r="BC449" s="83"/>
      <c r="BD449" s="83"/>
      <c r="BE449" s="83"/>
      <c r="BF449" s="83"/>
      <c r="BG449" s="83"/>
      <c r="BH449" s="83"/>
      <c r="BI449" s="83"/>
      <c r="BJ449" s="83"/>
      <c r="BK449" s="83"/>
      <c r="BL449" s="83"/>
      <c r="BM449" s="83"/>
      <c r="BN449" s="83"/>
      <c r="BO449" s="83"/>
      <c r="BP449" s="83"/>
      <c r="BQ449" s="83"/>
      <c r="BR449" s="83"/>
      <c r="BS449" s="83"/>
      <c r="BT449" s="83"/>
      <c r="BU449" s="83"/>
    </row>
    <row r="450" spans="15:73"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  <c r="AV450" s="83"/>
      <c r="AW450" s="83"/>
      <c r="AX450" s="83"/>
      <c r="AY450" s="83"/>
      <c r="AZ450" s="83"/>
      <c r="BA450" s="83"/>
      <c r="BB450" s="83"/>
      <c r="BC450" s="83"/>
      <c r="BD450" s="83"/>
      <c r="BE450" s="83"/>
      <c r="BF450" s="83"/>
      <c r="BG450" s="83"/>
      <c r="BH450" s="83"/>
      <c r="BI450" s="83"/>
      <c r="BJ450" s="83"/>
      <c r="BK450" s="83"/>
      <c r="BL450" s="83"/>
      <c r="BM450" s="83"/>
      <c r="BN450" s="83"/>
      <c r="BO450" s="83"/>
      <c r="BP450" s="83"/>
      <c r="BQ450" s="83"/>
      <c r="BR450" s="83"/>
      <c r="BS450" s="83"/>
      <c r="BT450" s="83"/>
      <c r="BU450" s="83"/>
    </row>
    <row r="451" spans="15:73"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  <c r="BA451" s="83"/>
      <c r="BB451" s="83"/>
      <c r="BC451" s="83"/>
      <c r="BD451" s="83"/>
      <c r="BE451" s="83"/>
      <c r="BF451" s="83"/>
      <c r="BG451" s="83"/>
      <c r="BH451" s="83"/>
      <c r="BI451" s="83"/>
      <c r="BJ451" s="83"/>
      <c r="BK451" s="83"/>
      <c r="BL451" s="83"/>
      <c r="BM451" s="83"/>
      <c r="BN451" s="83"/>
      <c r="BO451" s="83"/>
      <c r="BP451" s="83"/>
      <c r="BQ451" s="83"/>
      <c r="BR451" s="83"/>
      <c r="BS451" s="83"/>
      <c r="BT451" s="83"/>
      <c r="BU451" s="83"/>
    </row>
    <row r="452" spans="15:73"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  <c r="BA452" s="83"/>
      <c r="BB452" s="83"/>
      <c r="BC452" s="83"/>
      <c r="BD452" s="83"/>
      <c r="BE452" s="83"/>
      <c r="BF452" s="83"/>
      <c r="BG452" s="83"/>
      <c r="BH452" s="83"/>
      <c r="BI452" s="83"/>
      <c r="BJ452" s="83"/>
      <c r="BK452" s="83"/>
      <c r="BL452" s="83"/>
      <c r="BM452" s="83"/>
      <c r="BN452" s="83"/>
      <c r="BO452" s="83"/>
      <c r="BP452" s="83"/>
      <c r="BQ452" s="83"/>
      <c r="BR452" s="83"/>
      <c r="BS452" s="83"/>
      <c r="BT452" s="83"/>
      <c r="BU452" s="83"/>
    </row>
    <row r="453" spans="15:73"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  <c r="AV453" s="83"/>
      <c r="AW453" s="83"/>
      <c r="AX453" s="83"/>
      <c r="AY453" s="83"/>
      <c r="AZ453" s="83"/>
      <c r="BA453" s="83"/>
      <c r="BB453" s="83"/>
      <c r="BC453" s="83"/>
      <c r="BD453" s="83"/>
      <c r="BE453" s="83"/>
      <c r="BF453" s="83"/>
      <c r="BG453" s="83"/>
      <c r="BH453" s="83"/>
      <c r="BI453" s="83"/>
      <c r="BJ453" s="83"/>
      <c r="BK453" s="83"/>
      <c r="BL453" s="83"/>
      <c r="BM453" s="83"/>
      <c r="BN453" s="83"/>
      <c r="BO453" s="83"/>
      <c r="BP453" s="83"/>
      <c r="BQ453" s="83"/>
      <c r="BR453" s="83"/>
      <c r="BS453" s="83"/>
      <c r="BT453" s="83"/>
      <c r="BU453" s="83"/>
    </row>
    <row r="454" spans="15:73"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  <c r="AV454" s="83"/>
      <c r="AW454" s="83"/>
      <c r="AX454" s="83"/>
      <c r="AY454" s="83"/>
      <c r="AZ454" s="83"/>
      <c r="BA454" s="83"/>
      <c r="BB454" s="83"/>
      <c r="BC454" s="83"/>
      <c r="BD454" s="83"/>
      <c r="BE454" s="83"/>
      <c r="BF454" s="83"/>
      <c r="BG454" s="83"/>
      <c r="BH454" s="83"/>
      <c r="BI454" s="83"/>
      <c r="BJ454" s="83"/>
      <c r="BK454" s="83"/>
      <c r="BL454" s="83"/>
      <c r="BM454" s="83"/>
      <c r="BN454" s="83"/>
      <c r="BO454" s="83"/>
      <c r="BP454" s="83"/>
      <c r="BQ454" s="83"/>
      <c r="BR454" s="83"/>
      <c r="BS454" s="83"/>
      <c r="BT454" s="83"/>
      <c r="BU454" s="83"/>
    </row>
    <row r="455" spans="15:73"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  <c r="AV455" s="83"/>
      <c r="AW455" s="83"/>
      <c r="AX455" s="83"/>
      <c r="AY455" s="83"/>
      <c r="AZ455" s="83"/>
      <c r="BA455" s="83"/>
      <c r="BB455" s="83"/>
      <c r="BC455" s="83"/>
      <c r="BD455" s="83"/>
      <c r="BE455" s="83"/>
      <c r="BF455" s="83"/>
      <c r="BG455" s="83"/>
      <c r="BH455" s="83"/>
      <c r="BI455" s="83"/>
      <c r="BJ455" s="83"/>
      <c r="BK455" s="83"/>
      <c r="BL455" s="83"/>
      <c r="BM455" s="83"/>
      <c r="BN455" s="83"/>
      <c r="BO455" s="83"/>
      <c r="BP455" s="83"/>
      <c r="BQ455" s="83"/>
      <c r="BR455" s="83"/>
      <c r="BS455" s="83"/>
      <c r="BT455" s="83"/>
      <c r="BU455" s="83"/>
    </row>
    <row r="456" spans="15:73"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  <c r="AV456" s="83"/>
      <c r="AW456" s="83"/>
      <c r="AX456" s="83"/>
      <c r="AY456" s="83"/>
      <c r="AZ456" s="83"/>
      <c r="BA456" s="83"/>
      <c r="BB456" s="83"/>
      <c r="BC456" s="83"/>
      <c r="BD456" s="83"/>
      <c r="BE456" s="83"/>
      <c r="BF456" s="83"/>
      <c r="BG456" s="83"/>
      <c r="BH456" s="83"/>
      <c r="BI456" s="83"/>
      <c r="BJ456" s="83"/>
      <c r="BK456" s="83"/>
      <c r="BL456" s="83"/>
      <c r="BM456" s="83"/>
      <c r="BN456" s="83"/>
      <c r="BO456" s="83"/>
      <c r="BP456" s="83"/>
      <c r="BQ456" s="83"/>
      <c r="BR456" s="83"/>
      <c r="BS456" s="83"/>
      <c r="BT456" s="83"/>
      <c r="BU456" s="83"/>
    </row>
    <row r="457" spans="15:73"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  <c r="AV457" s="83"/>
      <c r="AW457" s="83"/>
      <c r="AX457" s="83"/>
      <c r="AY457" s="83"/>
      <c r="AZ457" s="83"/>
      <c r="BA457" s="83"/>
      <c r="BB457" s="83"/>
      <c r="BC457" s="83"/>
      <c r="BD457" s="83"/>
      <c r="BE457" s="83"/>
      <c r="BF457" s="83"/>
      <c r="BG457" s="83"/>
      <c r="BH457" s="83"/>
      <c r="BI457" s="83"/>
      <c r="BJ457" s="83"/>
      <c r="BK457" s="83"/>
      <c r="BL457" s="83"/>
      <c r="BM457" s="83"/>
      <c r="BN457" s="83"/>
      <c r="BO457" s="83"/>
      <c r="BP457" s="83"/>
      <c r="BQ457" s="83"/>
      <c r="BR457" s="83"/>
      <c r="BS457" s="83"/>
      <c r="BT457" s="83"/>
      <c r="BU457" s="83"/>
    </row>
    <row r="458" spans="15:73"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  <c r="AV458" s="83"/>
      <c r="AW458" s="83"/>
      <c r="AX458" s="83"/>
      <c r="AY458" s="83"/>
      <c r="AZ458" s="83"/>
      <c r="BA458" s="83"/>
      <c r="BB458" s="83"/>
      <c r="BC458" s="83"/>
      <c r="BD458" s="83"/>
      <c r="BE458" s="83"/>
      <c r="BF458" s="83"/>
      <c r="BG458" s="83"/>
      <c r="BH458" s="83"/>
      <c r="BI458" s="83"/>
      <c r="BJ458" s="83"/>
      <c r="BK458" s="83"/>
      <c r="BL458" s="83"/>
      <c r="BM458" s="83"/>
      <c r="BN458" s="83"/>
      <c r="BO458" s="83"/>
      <c r="BP458" s="83"/>
      <c r="BQ458" s="83"/>
      <c r="BR458" s="83"/>
      <c r="BS458" s="83"/>
      <c r="BT458" s="83"/>
      <c r="BU458" s="83"/>
    </row>
    <row r="459" spans="15:73"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  <c r="BB459" s="83"/>
      <c r="BC459" s="83"/>
      <c r="BD459" s="83"/>
      <c r="BE459" s="83"/>
      <c r="BF459" s="83"/>
      <c r="BG459" s="83"/>
      <c r="BH459" s="83"/>
      <c r="BI459" s="83"/>
      <c r="BJ459" s="83"/>
      <c r="BK459" s="83"/>
      <c r="BL459" s="83"/>
      <c r="BM459" s="83"/>
      <c r="BN459" s="83"/>
      <c r="BO459" s="83"/>
      <c r="BP459" s="83"/>
      <c r="BQ459" s="83"/>
      <c r="BR459" s="83"/>
      <c r="BS459" s="83"/>
      <c r="BT459" s="83"/>
      <c r="BU459" s="83"/>
    </row>
    <row r="460" spans="15:73"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  <c r="BB460" s="83"/>
      <c r="BC460" s="83"/>
      <c r="BD460" s="83"/>
      <c r="BE460" s="83"/>
      <c r="BF460" s="83"/>
      <c r="BG460" s="83"/>
      <c r="BH460" s="83"/>
      <c r="BI460" s="83"/>
      <c r="BJ460" s="83"/>
      <c r="BK460" s="83"/>
      <c r="BL460" s="83"/>
      <c r="BM460" s="83"/>
      <c r="BN460" s="83"/>
      <c r="BO460" s="83"/>
      <c r="BP460" s="83"/>
      <c r="BQ460" s="83"/>
      <c r="BR460" s="83"/>
      <c r="BS460" s="83"/>
      <c r="BT460" s="83"/>
      <c r="BU460" s="83"/>
    </row>
    <row r="461" spans="15:73"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  <c r="BB461" s="83"/>
      <c r="BC461" s="83"/>
      <c r="BD461" s="83"/>
      <c r="BE461" s="83"/>
      <c r="BF461" s="83"/>
      <c r="BG461" s="83"/>
      <c r="BH461" s="83"/>
      <c r="BI461" s="83"/>
      <c r="BJ461" s="83"/>
      <c r="BK461" s="83"/>
      <c r="BL461" s="83"/>
      <c r="BM461" s="83"/>
      <c r="BN461" s="83"/>
      <c r="BO461" s="83"/>
      <c r="BP461" s="83"/>
      <c r="BQ461" s="83"/>
      <c r="BR461" s="83"/>
      <c r="BS461" s="83"/>
      <c r="BT461" s="83"/>
      <c r="BU461" s="83"/>
    </row>
    <row r="462" spans="15:73"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  <c r="AV462" s="83"/>
      <c r="AW462" s="83"/>
      <c r="AX462" s="83"/>
      <c r="AY462" s="83"/>
      <c r="AZ462" s="83"/>
      <c r="BA462" s="83"/>
      <c r="BB462" s="83"/>
      <c r="BC462" s="83"/>
      <c r="BD462" s="83"/>
      <c r="BE462" s="83"/>
      <c r="BF462" s="83"/>
      <c r="BG462" s="83"/>
      <c r="BH462" s="83"/>
      <c r="BI462" s="83"/>
      <c r="BJ462" s="83"/>
      <c r="BK462" s="83"/>
      <c r="BL462" s="83"/>
      <c r="BM462" s="83"/>
      <c r="BN462" s="83"/>
      <c r="BO462" s="83"/>
      <c r="BP462" s="83"/>
      <c r="BQ462" s="83"/>
      <c r="BR462" s="83"/>
      <c r="BS462" s="83"/>
      <c r="BT462" s="83"/>
      <c r="BU462" s="83"/>
    </row>
    <row r="463" spans="15:73"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  <c r="AV463" s="83"/>
      <c r="AW463" s="83"/>
      <c r="AX463" s="83"/>
      <c r="AY463" s="83"/>
      <c r="AZ463" s="83"/>
      <c r="BA463" s="83"/>
      <c r="BB463" s="83"/>
      <c r="BC463" s="83"/>
      <c r="BD463" s="83"/>
      <c r="BE463" s="83"/>
      <c r="BF463" s="83"/>
      <c r="BG463" s="83"/>
      <c r="BH463" s="83"/>
      <c r="BI463" s="83"/>
      <c r="BJ463" s="83"/>
      <c r="BK463" s="83"/>
      <c r="BL463" s="83"/>
      <c r="BM463" s="83"/>
      <c r="BN463" s="83"/>
      <c r="BO463" s="83"/>
      <c r="BP463" s="83"/>
      <c r="BQ463" s="83"/>
      <c r="BR463" s="83"/>
      <c r="BS463" s="83"/>
      <c r="BT463" s="83"/>
      <c r="BU463" s="83"/>
    </row>
    <row r="464" spans="15:73"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  <c r="AV464" s="83"/>
      <c r="AW464" s="83"/>
      <c r="AX464" s="83"/>
      <c r="AY464" s="83"/>
      <c r="AZ464" s="83"/>
      <c r="BA464" s="83"/>
      <c r="BB464" s="83"/>
      <c r="BC464" s="83"/>
      <c r="BD464" s="83"/>
      <c r="BE464" s="83"/>
      <c r="BF464" s="83"/>
      <c r="BG464" s="83"/>
      <c r="BH464" s="83"/>
      <c r="BI464" s="83"/>
      <c r="BJ464" s="83"/>
      <c r="BK464" s="83"/>
      <c r="BL464" s="83"/>
      <c r="BM464" s="83"/>
      <c r="BN464" s="83"/>
      <c r="BO464" s="83"/>
      <c r="BP464" s="83"/>
      <c r="BQ464" s="83"/>
      <c r="BR464" s="83"/>
      <c r="BS464" s="83"/>
      <c r="BT464" s="83"/>
      <c r="BU464" s="83"/>
    </row>
    <row r="465" spans="15:73"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  <c r="AV465" s="83"/>
      <c r="AW465" s="83"/>
      <c r="AX465" s="83"/>
      <c r="AY465" s="83"/>
      <c r="AZ465" s="83"/>
      <c r="BA465" s="83"/>
      <c r="BB465" s="83"/>
      <c r="BC465" s="83"/>
      <c r="BD465" s="83"/>
      <c r="BE465" s="83"/>
      <c r="BF465" s="83"/>
      <c r="BG465" s="83"/>
      <c r="BH465" s="83"/>
      <c r="BI465" s="83"/>
      <c r="BJ465" s="83"/>
      <c r="BK465" s="83"/>
      <c r="BL465" s="83"/>
      <c r="BM465" s="83"/>
      <c r="BN465" s="83"/>
      <c r="BO465" s="83"/>
      <c r="BP465" s="83"/>
      <c r="BQ465" s="83"/>
      <c r="BR465" s="83"/>
      <c r="BS465" s="83"/>
      <c r="BT465" s="83"/>
      <c r="BU465" s="83"/>
    </row>
    <row r="466" spans="15:73"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  <c r="AV466" s="83"/>
      <c r="AW466" s="83"/>
      <c r="AX466" s="83"/>
      <c r="AY466" s="83"/>
      <c r="AZ466" s="83"/>
      <c r="BA466" s="83"/>
      <c r="BB466" s="83"/>
      <c r="BC466" s="83"/>
      <c r="BD466" s="83"/>
      <c r="BE466" s="83"/>
      <c r="BF466" s="83"/>
      <c r="BG466" s="83"/>
      <c r="BH466" s="83"/>
      <c r="BI466" s="83"/>
      <c r="BJ466" s="83"/>
      <c r="BK466" s="83"/>
      <c r="BL466" s="83"/>
      <c r="BM466" s="83"/>
      <c r="BN466" s="83"/>
      <c r="BO466" s="83"/>
      <c r="BP466" s="83"/>
      <c r="BQ466" s="83"/>
      <c r="BR466" s="83"/>
      <c r="BS466" s="83"/>
      <c r="BT466" s="83"/>
      <c r="BU466" s="83"/>
    </row>
    <row r="467" spans="15:73"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  <c r="AV467" s="83"/>
      <c r="AW467" s="83"/>
      <c r="AX467" s="83"/>
      <c r="AY467" s="83"/>
      <c r="AZ467" s="83"/>
      <c r="BA467" s="83"/>
      <c r="BB467" s="83"/>
      <c r="BC467" s="83"/>
      <c r="BD467" s="83"/>
      <c r="BE467" s="83"/>
      <c r="BF467" s="83"/>
      <c r="BG467" s="83"/>
      <c r="BH467" s="83"/>
      <c r="BI467" s="83"/>
      <c r="BJ467" s="83"/>
      <c r="BK467" s="83"/>
      <c r="BL467" s="83"/>
      <c r="BM467" s="83"/>
      <c r="BN467" s="83"/>
      <c r="BO467" s="83"/>
      <c r="BP467" s="83"/>
      <c r="BQ467" s="83"/>
      <c r="BR467" s="83"/>
      <c r="BS467" s="83"/>
      <c r="BT467" s="83"/>
      <c r="BU467" s="83"/>
    </row>
    <row r="468" spans="15:73"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  <c r="AV468" s="83"/>
      <c r="AW468" s="83"/>
      <c r="AX468" s="83"/>
      <c r="AY468" s="83"/>
      <c r="AZ468" s="83"/>
      <c r="BA468" s="83"/>
      <c r="BB468" s="83"/>
      <c r="BC468" s="83"/>
      <c r="BD468" s="83"/>
      <c r="BE468" s="83"/>
      <c r="BF468" s="83"/>
      <c r="BG468" s="83"/>
      <c r="BH468" s="83"/>
      <c r="BI468" s="83"/>
      <c r="BJ468" s="83"/>
      <c r="BK468" s="83"/>
      <c r="BL468" s="83"/>
      <c r="BM468" s="83"/>
      <c r="BN468" s="83"/>
      <c r="BO468" s="83"/>
      <c r="BP468" s="83"/>
      <c r="BQ468" s="83"/>
      <c r="BR468" s="83"/>
      <c r="BS468" s="83"/>
      <c r="BT468" s="83"/>
      <c r="BU468" s="83"/>
    </row>
    <row r="469" spans="15:73"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  <c r="AV469" s="83"/>
      <c r="AW469" s="83"/>
      <c r="AX469" s="83"/>
      <c r="AY469" s="83"/>
      <c r="AZ469" s="83"/>
      <c r="BA469" s="83"/>
      <c r="BB469" s="83"/>
      <c r="BC469" s="83"/>
      <c r="BD469" s="83"/>
      <c r="BE469" s="83"/>
      <c r="BF469" s="83"/>
      <c r="BG469" s="83"/>
      <c r="BH469" s="83"/>
      <c r="BI469" s="83"/>
      <c r="BJ469" s="83"/>
      <c r="BK469" s="83"/>
      <c r="BL469" s="83"/>
      <c r="BM469" s="83"/>
      <c r="BN469" s="83"/>
      <c r="BO469" s="83"/>
      <c r="BP469" s="83"/>
      <c r="BQ469" s="83"/>
      <c r="BR469" s="83"/>
      <c r="BS469" s="83"/>
      <c r="BT469" s="83"/>
      <c r="BU469" s="83"/>
    </row>
    <row r="470" spans="15:73"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  <c r="AV470" s="83"/>
      <c r="AW470" s="83"/>
      <c r="AX470" s="83"/>
      <c r="AY470" s="83"/>
      <c r="AZ470" s="83"/>
      <c r="BA470" s="83"/>
      <c r="BB470" s="83"/>
      <c r="BC470" s="83"/>
      <c r="BD470" s="83"/>
      <c r="BE470" s="83"/>
      <c r="BF470" s="83"/>
      <c r="BG470" s="83"/>
      <c r="BH470" s="83"/>
      <c r="BI470" s="83"/>
      <c r="BJ470" s="83"/>
      <c r="BK470" s="83"/>
      <c r="BL470" s="83"/>
      <c r="BM470" s="83"/>
      <c r="BN470" s="83"/>
      <c r="BO470" s="83"/>
      <c r="BP470" s="83"/>
      <c r="BQ470" s="83"/>
      <c r="BR470" s="83"/>
      <c r="BS470" s="83"/>
      <c r="BT470" s="83"/>
      <c r="BU470" s="83"/>
    </row>
    <row r="471" spans="15:73"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  <c r="AV471" s="83"/>
      <c r="AW471" s="83"/>
      <c r="AX471" s="83"/>
      <c r="AY471" s="83"/>
      <c r="AZ471" s="83"/>
      <c r="BA471" s="83"/>
      <c r="BB471" s="83"/>
      <c r="BC471" s="83"/>
      <c r="BD471" s="83"/>
      <c r="BE471" s="83"/>
      <c r="BF471" s="83"/>
      <c r="BG471" s="83"/>
      <c r="BH471" s="83"/>
      <c r="BI471" s="83"/>
      <c r="BJ471" s="83"/>
      <c r="BK471" s="83"/>
      <c r="BL471" s="83"/>
      <c r="BM471" s="83"/>
      <c r="BN471" s="83"/>
      <c r="BO471" s="83"/>
      <c r="BP471" s="83"/>
      <c r="BQ471" s="83"/>
      <c r="BR471" s="83"/>
      <c r="BS471" s="83"/>
      <c r="BT471" s="83"/>
      <c r="BU471" s="83"/>
    </row>
    <row r="472" spans="15:73"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  <c r="AV472" s="83"/>
      <c r="AW472" s="83"/>
      <c r="AX472" s="83"/>
      <c r="AY472" s="83"/>
      <c r="AZ472" s="83"/>
      <c r="BA472" s="83"/>
      <c r="BB472" s="83"/>
      <c r="BC472" s="83"/>
      <c r="BD472" s="83"/>
      <c r="BE472" s="83"/>
      <c r="BF472" s="83"/>
      <c r="BG472" s="83"/>
      <c r="BH472" s="83"/>
      <c r="BI472" s="83"/>
      <c r="BJ472" s="83"/>
      <c r="BK472" s="83"/>
      <c r="BL472" s="83"/>
      <c r="BM472" s="83"/>
      <c r="BN472" s="83"/>
      <c r="BO472" s="83"/>
      <c r="BP472" s="83"/>
      <c r="BQ472" s="83"/>
      <c r="BR472" s="83"/>
      <c r="BS472" s="83"/>
      <c r="BT472" s="83"/>
      <c r="BU472" s="83"/>
    </row>
    <row r="473" spans="15:73"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  <c r="AV473" s="83"/>
      <c r="AW473" s="83"/>
      <c r="AX473" s="83"/>
      <c r="AY473" s="83"/>
      <c r="AZ473" s="83"/>
      <c r="BA473" s="83"/>
      <c r="BB473" s="83"/>
      <c r="BC473" s="83"/>
      <c r="BD473" s="83"/>
      <c r="BE473" s="83"/>
      <c r="BF473" s="83"/>
      <c r="BG473" s="83"/>
      <c r="BH473" s="83"/>
      <c r="BI473" s="83"/>
      <c r="BJ473" s="83"/>
      <c r="BK473" s="83"/>
      <c r="BL473" s="83"/>
      <c r="BM473" s="83"/>
      <c r="BN473" s="83"/>
      <c r="BO473" s="83"/>
      <c r="BP473" s="83"/>
      <c r="BQ473" s="83"/>
      <c r="BR473" s="83"/>
      <c r="BS473" s="83"/>
      <c r="BT473" s="83"/>
      <c r="BU473" s="83"/>
    </row>
    <row r="474" spans="15:73"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  <c r="AV474" s="83"/>
      <c r="AW474" s="83"/>
      <c r="AX474" s="83"/>
      <c r="AY474" s="83"/>
      <c r="AZ474" s="83"/>
      <c r="BA474" s="83"/>
      <c r="BB474" s="83"/>
      <c r="BC474" s="83"/>
      <c r="BD474" s="83"/>
      <c r="BE474" s="83"/>
      <c r="BF474" s="83"/>
      <c r="BG474" s="83"/>
      <c r="BH474" s="83"/>
      <c r="BI474" s="83"/>
      <c r="BJ474" s="83"/>
      <c r="BK474" s="83"/>
      <c r="BL474" s="83"/>
      <c r="BM474" s="83"/>
      <c r="BN474" s="83"/>
      <c r="BO474" s="83"/>
      <c r="BP474" s="83"/>
      <c r="BQ474" s="83"/>
      <c r="BR474" s="83"/>
      <c r="BS474" s="83"/>
      <c r="BT474" s="83"/>
      <c r="BU474" s="83"/>
    </row>
    <row r="475" spans="15:73"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  <c r="AV475" s="83"/>
      <c r="AW475" s="83"/>
      <c r="AX475" s="83"/>
      <c r="AY475" s="83"/>
      <c r="AZ475" s="83"/>
      <c r="BA475" s="83"/>
      <c r="BB475" s="83"/>
      <c r="BC475" s="83"/>
      <c r="BD475" s="83"/>
      <c r="BE475" s="83"/>
      <c r="BF475" s="83"/>
      <c r="BG475" s="83"/>
      <c r="BH475" s="83"/>
      <c r="BI475" s="83"/>
      <c r="BJ475" s="83"/>
      <c r="BK475" s="83"/>
      <c r="BL475" s="83"/>
      <c r="BM475" s="83"/>
      <c r="BN475" s="83"/>
      <c r="BO475" s="83"/>
      <c r="BP475" s="83"/>
      <c r="BQ475" s="83"/>
      <c r="BR475" s="83"/>
      <c r="BS475" s="83"/>
      <c r="BT475" s="83"/>
      <c r="BU475" s="83"/>
    </row>
    <row r="476" spans="15:73"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  <c r="AV476" s="83"/>
      <c r="AW476" s="83"/>
      <c r="AX476" s="83"/>
      <c r="AY476" s="83"/>
      <c r="AZ476" s="83"/>
      <c r="BA476" s="83"/>
      <c r="BB476" s="83"/>
      <c r="BC476" s="83"/>
      <c r="BD476" s="83"/>
      <c r="BE476" s="83"/>
      <c r="BF476" s="83"/>
      <c r="BG476" s="83"/>
      <c r="BH476" s="83"/>
      <c r="BI476" s="83"/>
      <c r="BJ476" s="83"/>
      <c r="BK476" s="83"/>
      <c r="BL476" s="83"/>
      <c r="BM476" s="83"/>
      <c r="BN476" s="83"/>
      <c r="BO476" s="83"/>
      <c r="BP476" s="83"/>
      <c r="BQ476" s="83"/>
      <c r="BR476" s="83"/>
      <c r="BS476" s="83"/>
      <c r="BT476" s="83"/>
      <c r="BU476" s="83"/>
    </row>
    <row r="477" spans="15:73"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  <c r="AV477" s="83"/>
      <c r="AW477" s="83"/>
      <c r="AX477" s="83"/>
      <c r="AY477" s="83"/>
      <c r="AZ477" s="83"/>
      <c r="BA477" s="83"/>
      <c r="BB477" s="83"/>
      <c r="BC477" s="83"/>
      <c r="BD477" s="83"/>
      <c r="BE477" s="83"/>
      <c r="BF477" s="83"/>
      <c r="BG477" s="83"/>
      <c r="BH477" s="83"/>
      <c r="BI477" s="83"/>
      <c r="BJ477" s="83"/>
      <c r="BK477" s="83"/>
      <c r="BL477" s="83"/>
      <c r="BM477" s="83"/>
      <c r="BN477" s="83"/>
      <c r="BO477" s="83"/>
      <c r="BP477" s="83"/>
      <c r="BQ477" s="83"/>
      <c r="BR477" s="83"/>
      <c r="BS477" s="83"/>
      <c r="BT477" s="83"/>
      <c r="BU477" s="83"/>
    </row>
    <row r="478" spans="15:73"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  <c r="AV478" s="83"/>
      <c r="AW478" s="83"/>
      <c r="AX478" s="83"/>
      <c r="AY478" s="83"/>
      <c r="AZ478" s="83"/>
      <c r="BA478" s="83"/>
      <c r="BB478" s="83"/>
      <c r="BC478" s="83"/>
      <c r="BD478" s="83"/>
      <c r="BE478" s="83"/>
      <c r="BF478" s="83"/>
      <c r="BG478" s="83"/>
      <c r="BH478" s="83"/>
      <c r="BI478" s="83"/>
      <c r="BJ478" s="83"/>
      <c r="BK478" s="83"/>
      <c r="BL478" s="83"/>
      <c r="BM478" s="83"/>
      <c r="BN478" s="83"/>
      <c r="BO478" s="83"/>
      <c r="BP478" s="83"/>
      <c r="BQ478" s="83"/>
      <c r="BR478" s="83"/>
      <c r="BS478" s="83"/>
      <c r="BT478" s="83"/>
      <c r="BU478" s="83"/>
    </row>
    <row r="479" spans="15:73"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  <c r="AV479" s="83"/>
      <c r="AW479" s="83"/>
      <c r="AX479" s="83"/>
      <c r="AY479" s="83"/>
      <c r="AZ479" s="83"/>
      <c r="BA479" s="83"/>
      <c r="BB479" s="83"/>
      <c r="BC479" s="83"/>
      <c r="BD479" s="83"/>
      <c r="BE479" s="83"/>
      <c r="BF479" s="83"/>
      <c r="BG479" s="83"/>
      <c r="BH479" s="83"/>
      <c r="BI479" s="83"/>
      <c r="BJ479" s="83"/>
      <c r="BK479" s="83"/>
      <c r="BL479" s="83"/>
      <c r="BM479" s="83"/>
      <c r="BN479" s="83"/>
      <c r="BO479" s="83"/>
      <c r="BP479" s="83"/>
      <c r="BQ479" s="83"/>
      <c r="BR479" s="83"/>
      <c r="BS479" s="83"/>
      <c r="BT479" s="83"/>
      <c r="BU479" s="83"/>
    </row>
    <row r="480" spans="15:73"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  <c r="AV480" s="83"/>
      <c r="AW480" s="83"/>
      <c r="AX480" s="83"/>
      <c r="AY480" s="83"/>
      <c r="AZ480" s="83"/>
      <c r="BA480" s="83"/>
      <c r="BB480" s="83"/>
      <c r="BC480" s="83"/>
      <c r="BD480" s="83"/>
      <c r="BE480" s="83"/>
      <c r="BF480" s="83"/>
      <c r="BG480" s="83"/>
      <c r="BH480" s="83"/>
      <c r="BI480" s="83"/>
      <c r="BJ480" s="83"/>
      <c r="BK480" s="83"/>
      <c r="BL480" s="83"/>
      <c r="BM480" s="83"/>
      <c r="BN480" s="83"/>
      <c r="BO480" s="83"/>
      <c r="BP480" s="83"/>
      <c r="BQ480" s="83"/>
      <c r="BR480" s="83"/>
      <c r="BS480" s="83"/>
      <c r="BT480" s="83"/>
      <c r="BU480" s="83"/>
    </row>
    <row r="481" spans="15:73"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  <c r="AV481" s="83"/>
      <c r="AW481" s="83"/>
      <c r="AX481" s="83"/>
      <c r="AY481" s="83"/>
      <c r="AZ481" s="83"/>
      <c r="BA481" s="83"/>
      <c r="BB481" s="83"/>
      <c r="BC481" s="83"/>
      <c r="BD481" s="83"/>
      <c r="BE481" s="83"/>
      <c r="BF481" s="83"/>
      <c r="BG481" s="83"/>
      <c r="BH481" s="83"/>
      <c r="BI481" s="83"/>
      <c r="BJ481" s="83"/>
      <c r="BK481" s="83"/>
      <c r="BL481" s="83"/>
      <c r="BM481" s="83"/>
      <c r="BN481" s="83"/>
      <c r="BO481" s="83"/>
      <c r="BP481" s="83"/>
      <c r="BQ481" s="83"/>
      <c r="BR481" s="83"/>
      <c r="BS481" s="83"/>
      <c r="BT481" s="83"/>
      <c r="BU481" s="83"/>
    </row>
    <row r="482" spans="15:73"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  <c r="AV482" s="83"/>
      <c r="AW482" s="83"/>
      <c r="AX482" s="83"/>
      <c r="AY482" s="83"/>
      <c r="AZ482" s="83"/>
      <c r="BA482" s="83"/>
      <c r="BB482" s="83"/>
      <c r="BC482" s="83"/>
      <c r="BD482" s="83"/>
      <c r="BE482" s="83"/>
      <c r="BF482" s="83"/>
      <c r="BG482" s="83"/>
      <c r="BH482" s="83"/>
      <c r="BI482" s="83"/>
      <c r="BJ482" s="83"/>
      <c r="BK482" s="83"/>
      <c r="BL482" s="83"/>
      <c r="BM482" s="83"/>
      <c r="BN482" s="83"/>
      <c r="BO482" s="83"/>
      <c r="BP482" s="83"/>
      <c r="BQ482" s="83"/>
      <c r="BR482" s="83"/>
      <c r="BS482" s="83"/>
      <c r="BT482" s="83"/>
      <c r="BU482" s="83"/>
    </row>
    <row r="483" spans="15:73"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  <c r="AV483" s="83"/>
      <c r="AW483" s="83"/>
      <c r="AX483" s="83"/>
      <c r="AY483" s="83"/>
      <c r="AZ483" s="83"/>
      <c r="BA483" s="83"/>
      <c r="BB483" s="83"/>
      <c r="BC483" s="83"/>
      <c r="BD483" s="83"/>
      <c r="BE483" s="83"/>
      <c r="BF483" s="83"/>
      <c r="BG483" s="83"/>
      <c r="BH483" s="83"/>
      <c r="BI483" s="83"/>
      <c r="BJ483" s="83"/>
      <c r="BK483" s="83"/>
      <c r="BL483" s="83"/>
      <c r="BM483" s="83"/>
      <c r="BN483" s="83"/>
      <c r="BO483" s="83"/>
      <c r="BP483" s="83"/>
      <c r="BQ483" s="83"/>
      <c r="BR483" s="83"/>
      <c r="BS483" s="83"/>
      <c r="BT483" s="83"/>
      <c r="BU483" s="83"/>
    </row>
    <row r="484" spans="15:73"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  <c r="AV484" s="83"/>
      <c r="AW484" s="83"/>
      <c r="AX484" s="83"/>
      <c r="AY484" s="83"/>
      <c r="AZ484" s="83"/>
      <c r="BA484" s="83"/>
      <c r="BB484" s="83"/>
      <c r="BC484" s="83"/>
      <c r="BD484" s="83"/>
      <c r="BE484" s="83"/>
      <c r="BF484" s="83"/>
      <c r="BG484" s="83"/>
      <c r="BH484" s="83"/>
      <c r="BI484" s="83"/>
      <c r="BJ484" s="83"/>
      <c r="BK484" s="83"/>
      <c r="BL484" s="83"/>
      <c r="BM484" s="83"/>
      <c r="BN484" s="83"/>
      <c r="BO484" s="83"/>
      <c r="BP484" s="83"/>
      <c r="BQ484" s="83"/>
      <c r="BR484" s="83"/>
      <c r="BS484" s="83"/>
      <c r="BT484" s="83"/>
      <c r="BU484" s="83"/>
    </row>
    <row r="485" spans="15:73"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  <c r="AV485" s="83"/>
      <c r="AW485" s="83"/>
      <c r="AX485" s="83"/>
      <c r="AY485" s="83"/>
      <c r="AZ485" s="83"/>
      <c r="BA485" s="83"/>
      <c r="BB485" s="83"/>
      <c r="BC485" s="83"/>
      <c r="BD485" s="83"/>
      <c r="BE485" s="83"/>
      <c r="BF485" s="83"/>
      <c r="BG485" s="83"/>
      <c r="BH485" s="83"/>
      <c r="BI485" s="83"/>
      <c r="BJ485" s="83"/>
      <c r="BK485" s="83"/>
      <c r="BL485" s="83"/>
      <c r="BM485" s="83"/>
      <c r="BN485" s="83"/>
      <c r="BO485" s="83"/>
      <c r="BP485" s="83"/>
      <c r="BQ485" s="83"/>
      <c r="BR485" s="83"/>
      <c r="BS485" s="83"/>
      <c r="BT485" s="83"/>
      <c r="BU485" s="83"/>
    </row>
    <row r="486" spans="15:73"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  <c r="AV486" s="83"/>
      <c r="AW486" s="83"/>
      <c r="AX486" s="83"/>
      <c r="AY486" s="83"/>
      <c r="AZ486" s="83"/>
      <c r="BA486" s="83"/>
      <c r="BB486" s="83"/>
      <c r="BC486" s="83"/>
      <c r="BD486" s="83"/>
      <c r="BE486" s="83"/>
      <c r="BF486" s="83"/>
      <c r="BG486" s="83"/>
      <c r="BH486" s="83"/>
      <c r="BI486" s="83"/>
      <c r="BJ486" s="83"/>
      <c r="BK486" s="83"/>
      <c r="BL486" s="83"/>
      <c r="BM486" s="83"/>
      <c r="BN486" s="83"/>
      <c r="BO486" s="83"/>
      <c r="BP486" s="83"/>
      <c r="BQ486" s="83"/>
      <c r="BR486" s="83"/>
      <c r="BS486" s="83"/>
      <c r="BT486" s="83"/>
      <c r="BU486" s="83"/>
    </row>
    <row r="487" spans="15:73"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  <c r="AV487" s="83"/>
      <c r="AW487" s="83"/>
      <c r="AX487" s="83"/>
      <c r="AY487" s="83"/>
      <c r="AZ487" s="83"/>
      <c r="BA487" s="83"/>
      <c r="BB487" s="83"/>
      <c r="BC487" s="83"/>
      <c r="BD487" s="83"/>
      <c r="BE487" s="83"/>
      <c r="BF487" s="83"/>
      <c r="BG487" s="83"/>
      <c r="BH487" s="83"/>
      <c r="BI487" s="83"/>
      <c r="BJ487" s="83"/>
      <c r="BK487" s="83"/>
      <c r="BL487" s="83"/>
      <c r="BM487" s="83"/>
      <c r="BN487" s="83"/>
      <c r="BO487" s="83"/>
      <c r="BP487" s="83"/>
      <c r="BQ487" s="83"/>
      <c r="BR487" s="83"/>
      <c r="BS487" s="83"/>
      <c r="BT487" s="83"/>
      <c r="BU487" s="83"/>
    </row>
    <row r="488" spans="15:73"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  <c r="AV488" s="83"/>
      <c r="AW488" s="83"/>
      <c r="AX488" s="83"/>
      <c r="AY488" s="83"/>
      <c r="AZ488" s="83"/>
      <c r="BA488" s="83"/>
      <c r="BB488" s="83"/>
      <c r="BC488" s="83"/>
      <c r="BD488" s="83"/>
      <c r="BE488" s="83"/>
      <c r="BF488" s="83"/>
      <c r="BG488" s="83"/>
      <c r="BH488" s="83"/>
      <c r="BI488" s="83"/>
      <c r="BJ488" s="83"/>
      <c r="BK488" s="83"/>
      <c r="BL488" s="83"/>
      <c r="BM488" s="83"/>
      <c r="BN488" s="83"/>
      <c r="BO488" s="83"/>
      <c r="BP488" s="83"/>
      <c r="BQ488" s="83"/>
      <c r="BR488" s="83"/>
      <c r="BS488" s="83"/>
      <c r="BT488" s="83"/>
      <c r="BU488" s="83"/>
    </row>
    <row r="489" spans="15:73"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  <c r="AV489" s="83"/>
      <c r="AW489" s="83"/>
      <c r="AX489" s="83"/>
      <c r="AY489" s="83"/>
      <c r="AZ489" s="83"/>
      <c r="BA489" s="83"/>
      <c r="BB489" s="83"/>
      <c r="BC489" s="83"/>
      <c r="BD489" s="83"/>
      <c r="BE489" s="83"/>
      <c r="BF489" s="83"/>
      <c r="BG489" s="83"/>
      <c r="BH489" s="83"/>
      <c r="BI489" s="83"/>
      <c r="BJ489" s="83"/>
      <c r="BK489" s="83"/>
      <c r="BL489" s="83"/>
      <c r="BM489" s="83"/>
      <c r="BN489" s="83"/>
      <c r="BO489" s="83"/>
      <c r="BP489" s="83"/>
      <c r="BQ489" s="83"/>
      <c r="BR489" s="83"/>
      <c r="BS489" s="83"/>
      <c r="BT489" s="83"/>
      <c r="BU489" s="83"/>
    </row>
    <row r="490" spans="15:73"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  <c r="AV490" s="83"/>
      <c r="AW490" s="83"/>
      <c r="AX490" s="83"/>
      <c r="AY490" s="83"/>
      <c r="AZ490" s="83"/>
      <c r="BA490" s="83"/>
      <c r="BB490" s="83"/>
      <c r="BC490" s="83"/>
      <c r="BD490" s="83"/>
      <c r="BE490" s="83"/>
      <c r="BF490" s="83"/>
      <c r="BG490" s="83"/>
      <c r="BH490" s="83"/>
      <c r="BI490" s="83"/>
      <c r="BJ490" s="83"/>
      <c r="BK490" s="83"/>
      <c r="BL490" s="83"/>
      <c r="BM490" s="83"/>
      <c r="BN490" s="83"/>
      <c r="BO490" s="83"/>
      <c r="BP490" s="83"/>
      <c r="BQ490" s="83"/>
      <c r="BR490" s="83"/>
      <c r="BS490" s="83"/>
      <c r="BT490" s="83"/>
      <c r="BU490" s="83"/>
    </row>
    <row r="491" spans="15:73"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  <c r="AV491" s="83"/>
      <c r="AW491" s="83"/>
      <c r="AX491" s="83"/>
      <c r="AY491" s="83"/>
      <c r="AZ491" s="83"/>
      <c r="BA491" s="83"/>
      <c r="BB491" s="83"/>
      <c r="BC491" s="83"/>
      <c r="BD491" s="83"/>
      <c r="BE491" s="83"/>
      <c r="BF491" s="83"/>
      <c r="BG491" s="83"/>
      <c r="BH491" s="83"/>
      <c r="BI491" s="83"/>
      <c r="BJ491" s="83"/>
      <c r="BK491" s="83"/>
      <c r="BL491" s="83"/>
      <c r="BM491" s="83"/>
      <c r="BN491" s="83"/>
      <c r="BO491" s="83"/>
      <c r="BP491" s="83"/>
      <c r="BQ491" s="83"/>
      <c r="BR491" s="83"/>
      <c r="BS491" s="83"/>
      <c r="BT491" s="83"/>
      <c r="BU491" s="83"/>
    </row>
    <row r="492" spans="15:73"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  <c r="AV492" s="83"/>
      <c r="AW492" s="83"/>
      <c r="AX492" s="83"/>
      <c r="AY492" s="83"/>
      <c r="AZ492" s="83"/>
      <c r="BA492" s="83"/>
      <c r="BB492" s="83"/>
      <c r="BC492" s="83"/>
      <c r="BD492" s="83"/>
      <c r="BE492" s="83"/>
      <c r="BF492" s="83"/>
      <c r="BG492" s="83"/>
      <c r="BH492" s="83"/>
      <c r="BI492" s="83"/>
      <c r="BJ492" s="83"/>
      <c r="BK492" s="83"/>
      <c r="BL492" s="83"/>
      <c r="BM492" s="83"/>
      <c r="BN492" s="83"/>
      <c r="BO492" s="83"/>
      <c r="BP492" s="83"/>
      <c r="BQ492" s="83"/>
      <c r="BR492" s="83"/>
      <c r="BS492" s="83"/>
      <c r="BT492" s="83"/>
      <c r="BU492" s="83"/>
    </row>
    <row r="493" spans="15:73"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  <c r="AV493" s="83"/>
      <c r="AW493" s="83"/>
      <c r="AX493" s="83"/>
      <c r="AY493" s="83"/>
      <c r="AZ493" s="83"/>
      <c r="BA493" s="83"/>
      <c r="BB493" s="83"/>
      <c r="BC493" s="83"/>
      <c r="BD493" s="83"/>
      <c r="BE493" s="83"/>
      <c r="BF493" s="83"/>
      <c r="BG493" s="83"/>
      <c r="BH493" s="83"/>
      <c r="BI493" s="83"/>
      <c r="BJ493" s="83"/>
      <c r="BK493" s="83"/>
      <c r="BL493" s="83"/>
      <c r="BM493" s="83"/>
      <c r="BN493" s="83"/>
      <c r="BO493" s="83"/>
      <c r="BP493" s="83"/>
      <c r="BQ493" s="83"/>
      <c r="BR493" s="83"/>
      <c r="BS493" s="83"/>
      <c r="BT493" s="83"/>
      <c r="BU493" s="83"/>
    </row>
    <row r="494" spans="15:73"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  <c r="AV494" s="83"/>
      <c r="AW494" s="83"/>
      <c r="AX494" s="83"/>
      <c r="AY494" s="83"/>
      <c r="AZ494" s="83"/>
      <c r="BA494" s="83"/>
      <c r="BB494" s="83"/>
      <c r="BC494" s="83"/>
      <c r="BD494" s="83"/>
      <c r="BE494" s="83"/>
      <c r="BF494" s="83"/>
      <c r="BG494" s="83"/>
      <c r="BH494" s="83"/>
      <c r="BI494" s="83"/>
      <c r="BJ494" s="83"/>
      <c r="BK494" s="83"/>
      <c r="BL494" s="83"/>
      <c r="BM494" s="83"/>
      <c r="BN494" s="83"/>
      <c r="BO494" s="83"/>
      <c r="BP494" s="83"/>
      <c r="BQ494" s="83"/>
      <c r="BR494" s="83"/>
      <c r="BS494" s="83"/>
      <c r="BT494" s="83"/>
      <c r="BU494" s="83"/>
    </row>
    <row r="495" spans="15:73"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  <c r="AV495" s="83"/>
      <c r="AW495" s="83"/>
      <c r="AX495" s="83"/>
      <c r="AY495" s="83"/>
      <c r="AZ495" s="83"/>
      <c r="BA495" s="83"/>
      <c r="BB495" s="83"/>
      <c r="BC495" s="83"/>
      <c r="BD495" s="83"/>
      <c r="BE495" s="83"/>
      <c r="BF495" s="83"/>
      <c r="BG495" s="83"/>
      <c r="BH495" s="83"/>
      <c r="BI495" s="83"/>
      <c r="BJ495" s="83"/>
      <c r="BK495" s="83"/>
      <c r="BL495" s="83"/>
      <c r="BM495" s="83"/>
      <c r="BN495" s="83"/>
      <c r="BO495" s="83"/>
      <c r="BP495" s="83"/>
      <c r="BQ495" s="83"/>
      <c r="BR495" s="83"/>
      <c r="BS495" s="83"/>
      <c r="BT495" s="83"/>
      <c r="BU495" s="83"/>
    </row>
    <row r="496" spans="15:73"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  <c r="AV496" s="83"/>
      <c r="AW496" s="83"/>
      <c r="AX496" s="83"/>
      <c r="AY496" s="83"/>
      <c r="AZ496" s="83"/>
      <c r="BA496" s="83"/>
      <c r="BB496" s="83"/>
      <c r="BC496" s="83"/>
      <c r="BD496" s="83"/>
      <c r="BE496" s="83"/>
      <c r="BF496" s="83"/>
      <c r="BG496" s="83"/>
      <c r="BH496" s="83"/>
      <c r="BI496" s="83"/>
      <c r="BJ496" s="83"/>
      <c r="BK496" s="83"/>
      <c r="BL496" s="83"/>
      <c r="BM496" s="83"/>
      <c r="BN496" s="83"/>
      <c r="BO496" s="83"/>
      <c r="BP496" s="83"/>
      <c r="BQ496" s="83"/>
      <c r="BR496" s="83"/>
      <c r="BS496" s="83"/>
      <c r="BT496" s="83"/>
      <c r="BU496" s="83"/>
    </row>
    <row r="497" spans="15:73"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  <c r="AV497" s="83"/>
      <c r="AW497" s="83"/>
      <c r="AX497" s="83"/>
      <c r="AY497" s="83"/>
      <c r="AZ497" s="83"/>
      <c r="BA497" s="83"/>
      <c r="BB497" s="83"/>
      <c r="BC497" s="83"/>
      <c r="BD497" s="83"/>
      <c r="BE497" s="83"/>
      <c r="BF497" s="83"/>
      <c r="BG497" s="83"/>
      <c r="BH497" s="83"/>
      <c r="BI497" s="83"/>
      <c r="BJ497" s="83"/>
      <c r="BK497" s="83"/>
      <c r="BL497" s="83"/>
      <c r="BM497" s="83"/>
      <c r="BN497" s="83"/>
      <c r="BO497" s="83"/>
      <c r="BP497" s="83"/>
      <c r="BQ497" s="83"/>
      <c r="BR497" s="83"/>
      <c r="BS497" s="83"/>
      <c r="BT497" s="83"/>
      <c r="BU497" s="83"/>
    </row>
    <row r="498" spans="15:73"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  <c r="AV498" s="83"/>
      <c r="AW498" s="83"/>
      <c r="AX498" s="83"/>
      <c r="AY498" s="83"/>
      <c r="AZ498" s="83"/>
      <c r="BA498" s="83"/>
      <c r="BB498" s="83"/>
      <c r="BC498" s="83"/>
      <c r="BD498" s="83"/>
      <c r="BE498" s="83"/>
      <c r="BF498" s="83"/>
      <c r="BG498" s="83"/>
      <c r="BH498" s="83"/>
      <c r="BI498" s="83"/>
      <c r="BJ498" s="83"/>
      <c r="BK498" s="83"/>
      <c r="BL498" s="83"/>
      <c r="BM498" s="83"/>
      <c r="BN498" s="83"/>
      <c r="BO498" s="83"/>
      <c r="BP498" s="83"/>
      <c r="BQ498" s="83"/>
      <c r="BR498" s="83"/>
      <c r="BS498" s="83"/>
      <c r="BT498" s="83"/>
      <c r="BU498" s="83"/>
    </row>
    <row r="499" spans="15:73"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  <c r="AV499" s="83"/>
      <c r="AW499" s="83"/>
      <c r="AX499" s="83"/>
      <c r="AY499" s="83"/>
      <c r="AZ499" s="83"/>
      <c r="BA499" s="83"/>
      <c r="BB499" s="83"/>
      <c r="BC499" s="83"/>
      <c r="BD499" s="83"/>
      <c r="BE499" s="83"/>
      <c r="BF499" s="83"/>
      <c r="BG499" s="83"/>
      <c r="BH499" s="83"/>
      <c r="BI499" s="83"/>
      <c r="BJ499" s="83"/>
      <c r="BK499" s="83"/>
      <c r="BL499" s="83"/>
      <c r="BM499" s="83"/>
      <c r="BN499" s="83"/>
      <c r="BO499" s="83"/>
      <c r="BP499" s="83"/>
      <c r="BQ499" s="83"/>
      <c r="BR499" s="83"/>
      <c r="BS499" s="83"/>
      <c r="BT499" s="83"/>
      <c r="BU499" s="83"/>
    </row>
    <row r="500" spans="15:73"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  <c r="AV500" s="83"/>
      <c r="AW500" s="83"/>
      <c r="AX500" s="83"/>
      <c r="AY500" s="83"/>
      <c r="AZ500" s="83"/>
      <c r="BA500" s="83"/>
      <c r="BB500" s="83"/>
      <c r="BC500" s="83"/>
      <c r="BD500" s="83"/>
      <c r="BE500" s="83"/>
      <c r="BF500" s="83"/>
      <c r="BG500" s="83"/>
      <c r="BH500" s="83"/>
      <c r="BI500" s="83"/>
      <c r="BJ500" s="83"/>
      <c r="BK500" s="83"/>
      <c r="BL500" s="83"/>
      <c r="BM500" s="83"/>
      <c r="BN500" s="83"/>
      <c r="BO500" s="83"/>
      <c r="BP500" s="83"/>
      <c r="BQ500" s="83"/>
      <c r="BR500" s="83"/>
      <c r="BS500" s="83"/>
      <c r="BT500" s="83"/>
      <c r="BU500" s="83"/>
    </row>
    <row r="501" spans="15:73"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  <c r="AV501" s="83"/>
      <c r="AW501" s="83"/>
      <c r="AX501" s="83"/>
      <c r="AY501" s="83"/>
      <c r="AZ501" s="83"/>
      <c r="BA501" s="83"/>
      <c r="BB501" s="83"/>
      <c r="BC501" s="83"/>
      <c r="BD501" s="83"/>
      <c r="BE501" s="83"/>
      <c r="BF501" s="83"/>
      <c r="BG501" s="83"/>
      <c r="BH501" s="83"/>
      <c r="BI501" s="83"/>
      <c r="BJ501" s="83"/>
      <c r="BK501" s="83"/>
      <c r="BL501" s="83"/>
      <c r="BM501" s="83"/>
      <c r="BN501" s="83"/>
      <c r="BO501" s="83"/>
      <c r="BP501" s="83"/>
      <c r="BQ501" s="83"/>
      <c r="BR501" s="83"/>
      <c r="BS501" s="83"/>
      <c r="BT501" s="83"/>
      <c r="BU501" s="83"/>
    </row>
    <row r="502" spans="15:73"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  <c r="AV502" s="83"/>
      <c r="AW502" s="83"/>
      <c r="AX502" s="83"/>
      <c r="AY502" s="83"/>
      <c r="AZ502" s="83"/>
      <c r="BA502" s="83"/>
      <c r="BB502" s="83"/>
      <c r="BC502" s="83"/>
      <c r="BD502" s="83"/>
      <c r="BE502" s="83"/>
      <c r="BF502" s="83"/>
      <c r="BG502" s="83"/>
      <c r="BH502" s="83"/>
      <c r="BI502" s="83"/>
      <c r="BJ502" s="83"/>
      <c r="BK502" s="83"/>
      <c r="BL502" s="83"/>
      <c r="BM502" s="83"/>
      <c r="BN502" s="83"/>
      <c r="BO502" s="83"/>
      <c r="BP502" s="83"/>
      <c r="BQ502" s="83"/>
      <c r="BR502" s="83"/>
      <c r="BS502" s="83"/>
      <c r="BT502" s="83"/>
      <c r="BU502" s="83"/>
    </row>
    <row r="503" spans="15:73"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  <c r="AV503" s="83"/>
      <c r="AW503" s="83"/>
      <c r="AX503" s="83"/>
      <c r="AY503" s="83"/>
      <c r="AZ503" s="83"/>
      <c r="BA503" s="83"/>
      <c r="BB503" s="83"/>
      <c r="BC503" s="83"/>
      <c r="BD503" s="83"/>
      <c r="BE503" s="83"/>
      <c r="BF503" s="83"/>
      <c r="BG503" s="83"/>
      <c r="BH503" s="83"/>
      <c r="BI503" s="83"/>
      <c r="BJ503" s="83"/>
      <c r="BK503" s="83"/>
      <c r="BL503" s="83"/>
      <c r="BM503" s="83"/>
      <c r="BN503" s="83"/>
      <c r="BO503" s="83"/>
      <c r="BP503" s="83"/>
      <c r="BQ503" s="83"/>
      <c r="BR503" s="83"/>
      <c r="BS503" s="83"/>
      <c r="BT503" s="83"/>
      <c r="BU503" s="83"/>
    </row>
    <row r="504" spans="15:73"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  <c r="AV504" s="83"/>
      <c r="AW504" s="83"/>
      <c r="AX504" s="83"/>
      <c r="AY504" s="83"/>
      <c r="AZ504" s="83"/>
      <c r="BA504" s="83"/>
      <c r="BB504" s="83"/>
      <c r="BC504" s="83"/>
      <c r="BD504" s="83"/>
      <c r="BE504" s="83"/>
      <c r="BF504" s="83"/>
      <c r="BG504" s="83"/>
      <c r="BH504" s="83"/>
      <c r="BI504" s="83"/>
      <c r="BJ504" s="83"/>
      <c r="BK504" s="83"/>
      <c r="BL504" s="83"/>
      <c r="BM504" s="83"/>
      <c r="BN504" s="83"/>
      <c r="BO504" s="83"/>
      <c r="BP504" s="83"/>
      <c r="BQ504" s="83"/>
      <c r="BR504" s="83"/>
      <c r="BS504" s="83"/>
      <c r="BT504" s="83"/>
      <c r="BU504" s="83"/>
    </row>
    <row r="505" spans="15:73"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  <c r="AV505" s="83"/>
      <c r="AW505" s="83"/>
      <c r="AX505" s="83"/>
      <c r="AY505" s="83"/>
      <c r="AZ505" s="83"/>
      <c r="BA505" s="83"/>
      <c r="BB505" s="83"/>
      <c r="BC505" s="83"/>
      <c r="BD505" s="83"/>
      <c r="BE505" s="83"/>
      <c r="BF505" s="83"/>
      <c r="BG505" s="83"/>
      <c r="BH505" s="83"/>
      <c r="BI505" s="83"/>
      <c r="BJ505" s="83"/>
      <c r="BK505" s="83"/>
      <c r="BL505" s="83"/>
      <c r="BM505" s="83"/>
      <c r="BN505" s="83"/>
      <c r="BO505" s="83"/>
      <c r="BP505" s="83"/>
      <c r="BQ505" s="83"/>
      <c r="BR505" s="83"/>
      <c r="BS505" s="83"/>
      <c r="BT505" s="83"/>
      <c r="BU505" s="83"/>
    </row>
    <row r="506" spans="15:73"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  <c r="AV506" s="83"/>
      <c r="AW506" s="83"/>
      <c r="AX506" s="83"/>
      <c r="AY506" s="83"/>
      <c r="AZ506" s="83"/>
      <c r="BA506" s="83"/>
      <c r="BB506" s="83"/>
      <c r="BC506" s="83"/>
      <c r="BD506" s="83"/>
      <c r="BE506" s="83"/>
      <c r="BF506" s="83"/>
      <c r="BG506" s="83"/>
      <c r="BH506" s="83"/>
      <c r="BI506" s="83"/>
      <c r="BJ506" s="83"/>
      <c r="BK506" s="83"/>
      <c r="BL506" s="83"/>
      <c r="BM506" s="83"/>
      <c r="BN506" s="83"/>
      <c r="BO506" s="83"/>
      <c r="BP506" s="83"/>
      <c r="BQ506" s="83"/>
      <c r="BR506" s="83"/>
      <c r="BS506" s="83"/>
      <c r="BT506" s="83"/>
      <c r="BU506" s="83"/>
    </row>
    <row r="507" spans="15:73"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  <c r="AV507" s="83"/>
      <c r="AW507" s="83"/>
      <c r="AX507" s="83"/>
      <c r="AY507" s="83"/>
      <c r="AZ507" s="83"/>
      <c r="BA507" s="83"/>
      <c r="BB507" s="83"/>
      <c r="BC507" s="83"/>
      <c r="BD507" s="83"/>
      <c r="BE507" s="83"/>
      <c r="BF507" s="83"/>
      <c r="BG507" s="83"/>
      <c r="BH507" s="83"/>
      <c r="BI507" s="83"/>
      <c r="BJ507" s="83"/>
      <c r="BK507" s="83"/>
      <c r="BL507" s="83"/>
      <c r="BM507" s="83"/>
      <c r="BN507" s="83"/>
      <c r="BO507" s="83"/>
      <c r="BP507" s="83"/>
      <c r="BQ507" s="83"/>
      <c r="BR507" s="83"/>
      <c r="BS507" s="83"/>
      <c r="BT507" s="83"/>
      <c r="BU507" s="83"/>
    </row>
    <row r="508" spans="15:73"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  <c r="AV508" s="83"/>
      <c r="AW508" s="83"/>
      <c r="AX508" s="83"/>
      <c r="AY508" s="83"/>
      <c r="AZ508" s="83"/>
      <c r="BA508" s="83"/>
      <c r="BB508" s="83"/>
      <c r="BC508" s="83"/>
      <c r="BD508" s="83"/>
      <c r="BE508" s="83"/>
      <c r="BF508" s="83"/>
      <c r="BG508" s="83"/>
      <c r="BH508" s="83"/>
      <c r="BI508" s="83"/>
      <c r="BJ508" s="83"/>
      <c r="BK508" s="83"/>
      <c r="BL508" s="83"/>
      <c r="BM508" s="83"/>
      <c r="BN508" s="83"/>
      <c r="BO508" s="83"/>
      <c r="BP508" s="83"/>
      <c r="BQ508" s="83"/>
      <c r="BR508" s="83"/>
      <c r="BS508" s="83"/>
      <c r="BT508" s="83"/>
      <c r="BU508" s="83"/>
    </row>
    <row r="509" spans="15:73"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  <c r="BA509" s="83"/>
      <c r="BB509" s="83"/>
      <c r="BC509" s="83"/>
      <c r="BD509" s="83"/>
      <c r="BE509" s="83"/>
      <c r="BF509" s="83"/>
      <c r="BG509" s="83"/>
      <c r="BH509" s="83"/>
      <c r="BI509" s="83"/>
      <c r="BJ509" s="83"/>
      <c r="BK509" s="83"/>
      <c r="BL509" s="83"/>
      <c r="BM509" s="83"/>
      <c r="BN509" s="83"/>
      <c r="BO509" s="83"/>
      <c r="BP509" s="83"/>
      <c r="BQ509" s="83"/>
      <c r="BR509" s="83"/>
      <c r="BS509" s="83"/>
      <c r="BT509" s="83"/>
      <c r="BU509" s="83"/>
    </row>
    <row r="510" spans="15:73"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  <c r="AV510" s="83"/>
      <c r="AW510" s="83"/>
      <c r="AX510" s="83"/>
      <c r="AY510" s="83"/>
      <c r="AZ510" s="83"/>
      <c r="BA510" s="83"/>
      <c r="BB510" s="83"/>
      <c r="BC510" s="83"/>
      <c r="BD510" s="83"/>
      <c r="BE510" s="83"/>
      <c r="BF510" s="83"/>
      <c r="BG510" s="83"/>
      <c r="BH510" s="83"/>
      <c r="BI510" s="83"/>
      <c r="BJ510" s="83"/>
      <c r="BK510" s="83"/>
      <c r="BL510" s="83"/>
      <c r="BM510" s="83"/>
      <c r="BN510" s="83"/>
      <c r="BO510" s="83"/>
      <c r="BP510" s="83"/>
      <c r="BQ510" s="83"/>
      <c r="BR510" s="83"/>
      <c r="BS510" s="83"/>
      <c r="BT510" s="83"/>
      <c r="BU510" s="83"/>
    </row>
    <row r="511" spans="15:73"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  <c r="BA511" s="83"/>
      <c r="BB511" s="83"/>
      <c r="BC511" s="83"/>
      <c r="BD511" s="83"/>
      <c r="BE511" s="83"/>
      <c r="BF511" s="83"/>
      <c r="BG511" s="83"/>
      <c r="BH511" s="83"/>
      <c r="BI511" s="83"/>
      <c r="BJ511" s="83"/>
      <c r="BK511" s="83"/>
      <c r="BL511" s="83"/>
      <c r="BM511" s="83"/>
      <c r="BN511" s="83"/>
      <c r="BO511" s="83"/>
      <c r="BP511" s="83"/>
      <c r="BQ511" s="83"/>
      <c r="BR511" s="83"/>
      <c r="BS511" s="83"/>
      <c r="BT511" s="83"/>
      <c r="BU511" s="83"/>
    </row>
    <row r="512" spans="15:73"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  <c r="AV512" s="83"/>
      <c r="AW512" s="83"/>
      <c r="AX512" s="83"/>
      <c r="AY512" s="83"/>
      <c r="AZ512" s="83"/>
      <c r="BA512" s="83"/>
      <c r="BB512" s="83"/>
      <c r="BC512" s="83"/>
      <c r="BD512" s="83"/>
      <c r="BE512" s="83"/>
      <c r="BF512" s="83"/>
      <c r="BG512" s="83"/>
      <c r="BH512" s="83"/>
      <c r="BI512" s="83"/>
      <c r="BJ512" s="83"/>
      <c r="BK512" s="83"/>
      <c r="BL512" s="83"/>
      <c r="BM512" s="83"/>
      <c r="BN512" s="83"/>
      <c r="BO512" s="83"/>
      <c r="BP512" s="83"/>
      <c r="BQ512" s="83"/>
      <c r="BR512" s="83"/>
      <c r="BS512" s="83"/>
      <c r="BT512" s="83"/>
      <c r="BU512" s="83"/>
    </row>
    <row r="513" spans="15:73"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  <c r="AV513" s="83"/>
      <c r="AW513" s="83"/>
      <c r="AX513" s="83"/>
      <c r="AY513" s="83"/>
      <c r="AZ513" s="83"/>
      <c r="BA513" s="83"/>
      <c r="BB513" s="83"/>
      <c r="BC513" s="83"/>
      <c r="BD513" s="83"/>
      <c r="BE513" s="83"/>
      <c r="BF513" s="83"/>
      <c r="BG513" s="83"/>
      <c r="BH513" s="83"/>
      <c r="BI513" s="83"/>
      <c r="BJ513" s="83"/>
      <c r="BK513" s="83"/>
      <c r="BL513" s="83"/>
      <c r="BM513" s="83"/>
      <c r="BN513" s="83"/>
      <c r="BO513" s="83"/>
      <c r="BP513" s="83"/>
      <c r="BQ513" s="83"/>
      <c r="BR513" s="83"/>
      <c r="BS513" s="83"/>
      <c r="BT513" s="83"/>
      <c r="BU513" s="83"/>
    </row>
    <row r="514" spans="15:73"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  <c r="AV514" s="83"/>
      <c r="AW514" s="83"/>
      <c r="AX514" s="83"/>
      <c r="AY514" s="83"/>
      <c r="AZ514" s="83"/>
      <c r="BA514" s="83"/>
      <c r="BB514" s="83"/>
      <c r="BC514" s="83"/>
      <c r="BD514" s="83"/>
      <c r="BE514" s="83"/>
      <c r="BF514" s="83"/>
      <c r="BG514" s="83"/>
      <c r="BH514" s="83"/>
      <c r="BI514" s="83"/>
      <c r="BJ514" s="83"/>
      <c r="BK514" s="83"/>
      <c r="BL514" s="83"/>
      <c r="BM514" s="83"/>
      <c r="BN514" s="83"/>
      <c r="BO514" s="83"/>
      <c r="BP514" s="83"/>
      <c r="BQ514" s="83"/>
      <c r="BR514" s="83"/>
      <c r="BS514" s="83"/>
      <c r="BT514" s="83"/>
      <c r="BU514" s="83"/>
    </row>
    <row r="515" spans="15:73"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  <c r="AV515" s="83"/>
      <c r="AW515" s="83"/>
      <c r="AX515" s="83"/>
      <c r="AY515" s="83"/>
      <c r="AZ515" s="83"/>
      <c r="BA515" s="83"/>
      <c r="BB515" s="83"/>
      <c r="BC515" s="83"/>
      <c r="BD515" s="83"/>
      <c r="BE515" s="83"/>
      <c r="BF515" s="83"/>
      <c r="BG515" s="83"/>
      <c r="BH515" s="83"/>
      <c r="BI515" s="83"/>
      <c r="BJ515" s="83"/>
      <c r="BK515" s="83"/>
      <c r="BL515" s="83"/>
      <c r="BM515" s="83"/>
      <c r="BN515" s="83"/>
      <c r="BO515" s="83"/>
      <c r="BP515" s="83"/>
      <c r="BQ515" s="83"/>
      <c r="BR515" s="83"/>
      <c r="BS515" s="83"/>
      <c r="BT515" s="83"/>
      <c r="BU515" s="83"/>
    </row>
    <row r="516" spans="15:73"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  <c r="AV516" s="83"/>
      <c r="AW516" s="83"/>
      <c r="AX516" s="83"/>
      <c r="AY516" s="83"/>
      <c r="AZ516" s="83"/>
      <c r="BA516" s="83"/>
      <c r="BB516" s="83"/>
      <c r="BC516" s="83"/>
      <c r="BD516" s="83"/>
      <c r="BE516" s="83"/>
      <c r="BF516" s="83"/>
      <c r="BG516" s="83"/>
      <c r="BH516" s="83"/>
      <c r="BI516" s="83"/>
      <c r="BJ516" s="83"/>
      <c r="BK516" s="83"/>
      <c r="BL516" s="83"/>
      <c r="BM516" s="83"/>
      <c r="BN516" s="83"/>
      <c r="BO516" s="83"/>
      <c r="BP516" s="83"/>
      <c r="BQ516" s="83"/>
      <c r="BR516" s="83"/>
      <c r="BS516" s="83"/>
      <c r="BT516" s="83"/>
      <c r="BU516" s="83"/>
    </row>
    <row r="517" spans="15:73"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  <c r="AV517" s="83"/>
      <c r="AW517" s="83"/>
      <c r="AX517" s="83"/>
      <c r="AY517" s="83"/>
      <c r="AZ517" s="83"/>
      <c r="BA517" s="83"/>
      <c r="BB517" s="83"/>
      <c r="BC517" s="83"/>
      <c r="BD517" s="83"/>
      <c r="BE517" s="83"/>
      <c r="BF517" s="83"/>
      <c r="BG517" s="83"/>
      <c r="BH517" s="83"/>
      <c r="BI517" s="83"/>
      <c r="BJ517" s="83"/>
      <c r="BK517" s="83"/>
      <c r="BL517" s="83"/>
      <c r="BM517" s="83"/>
      <c r="BN517" s="83"/>
      <c r="BO517" s="83"/>
      <c r="BP517" s="83"/>
      <c r="BQ517" s="83"/>
      <c r="BR517" s="83"/>
      <c r="BS517" s="83"/>
      <c r="BT517" s="83"/>
      <c r="BU517" s="83"/>
    </row>
    <row r="518" spans="15:73"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  <c r="AN518" s="83"/>
      <c r="AO518" s="83"/>
      <c r="AP518" s="83"/>
      <c r="AQ518" s="83"/>
      <c r="AR518" s="83"/>
      <c r="AS518" s="83"/>
      <c r="AT518" s="83"/>
      <c r="AU518" s="83"/>
      <c r="AV518" s="83"/>
      <c r="AW518" s="83"/>
      <c r="AX518" s="83"/>
      <c r="AY518" s="83"/>
      <c r="AZ518" s="83"/>
      <c r="BA518" s="83"/>
      <c r="BB518" s="83"/>
      <c r="BC518" s="83"/>
      <c r="BD518" s="83"/>
      <c r="BE518" s="83"/>
      <c r="BF518" s="83"/>
      <c r="BG518" s="83"/>
      <c r="BH518" s="83"/>
      <c r="BI518" s="83"/>
      <c r="BJ518" s="83"/>
      <c r="BK518" s="83"/>
      <c r="BL518" s="83"/>
      <c r="BM518" s="83"/>
      <c r="BN518" s="83"/>
      <c r="BO518" s="83"/>
      <c r="BP518" s="83"/>
      <c r="BQ518" s="83"/>
      <c r="BR518" s="83"/>
      <c r="BS518" s="83"/>
      <c r="BT518" s="83"/>
      <c r="BU518" s="83"/>
    </row>
    <row r="519" spans="15:73"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  <c r="AN519" s="83"/>
      <c r="AO519" s="83"/>
      <c r="AP519" s="83"/>
      <c r="AQ519" s="83"/>
      <c r="AR519" s="83"/>
      <c r="AS519" s="83"/>
      <c r="AT519" s="83"/>
      <c r="AU519" s="83"/>
      <c r="AV519" s="83"/>
      <c r="AW519" s="83"/>
      <c r="AX519" s="83"/>
      <c r="AY519" s="83"/>
      <c r="AZ519" s="83"/>
      <c r="BA519" s="83"/>
      <c r="BB519" s="83"/>
      <c r="BC519" s="83"/>
      <c r="BD519" s="83"/>
      <c r="BE519" s="83"/>
      <c r="BF519" s="83"/>
      <c r="BG519" s="83"/>
      <c r="BH519" s="83"/>
      <c r="BI519" s="83"/>
      <c r="BJ519" s="83"/>
      <c r="BK519" s="83"/>
      <c r="BL519" s="83"/>
      <c r="BM519" s="83"/>
      <c r="BN519" s="83"/>
      <c r="BO519" s="83"/>
      <c r="BP519" s="83"/>
      <c r="BQ519" s="83"/>
      <c r="BR519" s="83"/>
      <c r="BS519" s="83"/>
      <c r="BT519" s="83"/>
      <c r="BU519" s="83"/>
    </row>
    <row r="520" spans="15:73"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  <c r="AN520" s="83"/>
      <c r="AO520" s="83"/>
      <c r="AP520" s="83"/>
      <c r="AQ520" s="83"/>
      <c r="AR520" s="83"/>
      <c r="AS520" s="83"/>
      <c r="AT520" s="83"/>
      <c r="AU520" s="83"/>
      <c r="AV520" s="83"/>
      <c r="AW520" s="83"/>
      <c r="AX520" s="83"/>
      <c r="AY520" s="83"/>
      <c r="AZ520" s="83"/>
      <c r="BA520" s="83"/>
      <c r="BB520" s="83"/>
      <c r="BC520" s="83"/>
      <c r="BD520" s="83"/>
      <c r="BE520" s="83"/>
      <c r="BF520" s="83"/>
      <c r="BG520" s="83"/>
      <c r="BH520" s="83"/>
      <c r="BI520" s="83"/>
      <c r="BJ520" s="83"/>
      <c r="BK520" s="83"/>
      <c r="BL520" s="83"/>
      <c r="BM520" s="83"/>
      <c r="BN520" s="83"/>
      <c r="BO520" s="83"/>
      <c r="BP520" s="83"/>
      <c r="BQ520" s="83"/>
      <c r="BR520" s="83"/>
      <c r="BS520" s="83"/>
      <c r="BT520" s="83"/>
      <c r="BU520" s="83"/>
    </row>
    <row r="521" spans="15:73"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  <c r="AN521" s="83"/>
      <c r="AO521" s="83"/>
      <c r="AP521" s="83"/>
      <c r="AQ521" s="83"/>
      <c r="AR521" s="83"/>
      <c r="AS521" s="83"/>
      <c r="AT521" s="83"/>
      <c r="AU521" s="83"/>
      <c r="AV521" s="83"/>
      <c r="AW521" s="83"/>
      <c r="AX521" s="83"/>
      <c r="AY521" s="83"/>
      <c r="AZ521" s="83"/>
      <c r="BA521" s="83"/>
      <c r="BB521" s="83"/>
      <c r="BC521" s="83"/>
      <c r="BD521" s="83"/>
      <c r="BE521" s="83"/>
      <c r="BF521" s="83"/>
      <c r="BG521" s="83"/>
      <c r="BH521" s="83"/>
      <c r="BI521" s="83"/>
      <c r="BJ521" s="83"/>
      <c r="BK521" s="83"/>
      <c r="BL521" s="83"/>
      <c r="BM521" s="83"/>
      <c r="BN521" s="83"/>
      <c r="BO521" s="83"/>
      <c r="BP521" s="83"/>
      <c r="BQ521" s="83"/>
      <c r="BR521" s="83"/>
      <c r="BS521" s="83"/>
      <c r="BT521" s="83"/>
      <c r="BU521" s="83"/>
    </row>
    <row r="522" spans="15:73"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  <c r="AN522" s="83"/>
      <c r="AO522" s="83"/>
      <c r="AP522" s="83"/>
      <c r="AQ522" s="83"/>
      <c r="AR522" s="83"/>
      <c r="AS522" s="83"/>
      <c r="AT522" s="83"/>
      <c r="AU522" s="83"/>
      <c r="AV522" s="83"/>
      <c r="AW522" s="83"/>
      <c r="AX522" s="83"/>
      <c r="AY522" s="83"/>
      <c r="AZ522" s="83"/>
      <c r="BA522" s="83"/>
      <c r="BB522" s="83"/>
      <c r="BC522" s="83"/>
      <c r="BD522" s="83"/>
      <c r="BE522" s="83"/>
      <c r="BF522" s="83"/>
      <c r="BG522" s="83"/>
      <c r="BH522" s="83"/>
      <c r="BI522" s="83"/>
      <c r="BJ522" s="83"/>
      <c r="BK522" s="83"/>
      <c r="BL522" s="83"/>
      <c r="BM522" s="83"/>
      <c r="BN522" s="83"/>
      <c r="BO522" s="83"/>
      <c r="BP522" s="83"/>
      <c r="BQ522" s="83"/>
      <c r="BR522" s="83"/>
      <c r="BS522" s="83"/>
      <c r="BT522" s="83"/>
      <c r="BU522" s="83"/>
    </row>
    <row r="523" spans="15:73"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  <c r="AN523" s="83"/>
      <c r="AO523" s="83"/>
      <c r="AP523" s="83"/>
      <c r="AQ523" s="83"/>
      <c r="AR523" s="83"/>
      <c r="AS523" s="83"/>
      <c r="AT523" s="83"/>
      <c r="AU523" s="83"/>
      <c r="AV523" s="83"/>
      <c r="AW523" s="83"/>
      <c r="AX523" s="83"/>
      <c r="AY523" s="83"/>
      <c r="AZ523" s="83"/>
      <c r="BA523" s="83"/>
      <c r="BB523" s="83"/>
      <c r="BC523" s="83"/>
      <c r="BD523" s="83"/>
      <c r="BE523" s="83"/>
      <c r="BF523" s="83"/>
      <c r="BG523" s="83"/>
      <c r="BH523" s="83"/>
      <c r="BI523" s="83"/>
      <c r="BJ523" s="83"/>
      <c r="BK523" s="83"/>
      <c r="BL523" s="83"/>
      <c r="BM523" s="83"/>
      <c r="BN523" s="83"/>
      <c r="BO523" s="83"/>
      <c r="BP523" s="83"/>
      <c r="BQ523" s="83"/>
      <c r="BR523" s="83"/>
      <c r="BS523" s="83"/>
      <c r="BT523" s="83"/>
      <c r="BU523" s="83"/>
    </row>
    <row r="524" spans="15:73"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  <c r="AN524" s="83"/>
      <c r="AO524" s="83"/>
      <c r="AP524" s="83"/>
      <c r="AQ524" s="83"/>
      <c r="AR524" s="83"/>
      <c r="AS524" s="83"/>
      <c r="AT524" s="83"/>
      <c r="AU524" s="83"/>
      <c r="AV524" s="83"/>
      <c r="AW524" s="83"/>
      <c r="AX524" s="83"/>
      <c r="AY524" s="83"/>
      <c r="AZ524" s="83"/>
      <c r="BA524" s="83"/>
      <c r="BB524" s="83"/>
      <c r="BC524" s="83"/>
      <c r="BD524" s="83"/>
      <c r="BE524" s="83"/>
      <c r="BF524" s="83"/>
      <c r="BG524" s="83"/>
      <c r="BH524" s="83"/>
      <c r="BI524" s="83"/>
      <c r="BJ524" s="83"/>
      <c r="BK524" s="83"/>
      <c r="BL524" s="83"/>
      <c r="BM524" s="83"/>
      <c r="BN524" s="83"/>
      <c r="BO524" s="83"/>
      <c r="BP524" s="83"/>
      <c r="BQ524" s="83"/>
      <c r="BR524" s="83"/>
      <c r="BS524" s="83"/>
      <c r="BT524" s="83"/>
      <c r="BU524" s="83"/>
    </row>
    <row r="525" spans="15:73"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  <c r="AA525" s="83"/>
      <c r="AB525" s="83"/>
      <c r="AC525" s="83"/>
      <c r="AD525" s="83"/>
      <c r="AE525" s="83"/>
      <c r="AF525" s="83"/>
      <c r="AG525" s="83"/>
      <c r="AH525" s="83"/>
      <c r="AI525" s="83"/>
      <c r="AJ525" s="83"/>
      <c r="AK525" s="83"/>
      <c r="AL525" s="83"/>
      <c r="AM525" s="83"/>
      <c r="AN525" s="83"/>
      <c r="AO525" s="83"/>
      <c r="AP525" s="83"/>
      <c r="AQ525" s="83"/>
      <c r="AR525" s="83"/>
      <c r="AS525" s="83"/>
      <c r="AT525" s="83"/>
      <c r="AU525" s="83"/>
      <c r="AV525" s="83"/>
      <c r="AW525" s="83"/>
      <c r="AX525" s="83"/>
      <c r="AY525" s="83"/>
      <c r="AZ525" s="83"/>
      <c r="BA525" s="83"/>
      <c r="BB525" s="83"/>
      <c r="BC525" s="83"/>
      <c r="BD525" s="83"/>
      <c r="BE525" s="83"/>
      <c r="BF525" s="83"/>
      <c r="BG525" s="83"/>
      <c r="BH525" s="83"/>
      <c r="BI525" s="83"/>
      <c r="BJ525" s="83"/>
      <c r="BK525" s="83"/>
      <c r="BL525" s="83"/>
      <c r="BM525" s="83"/>
      <c r="BN525" s="83"/>
      <c r="BO525" s="83"/>
      <c r="BP525" s="83"/>
      <c r="BQ525" s="83"/>
      <c r="BR525" s="83"/>
      <c r="BS525" s="83"/>
      <c r="BT525" s="83"/>
      <c r="BU525" s="83"/>
    </row>
    <row r="526" spans="15:73"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  <c r="AA526" s="83"/>
      <c r="AB526" s="83"/>
      <c r="AC526" s="83"/>
      <c r="AD526" s="83"/>
      <c r="AE526" s="83"/>
      <c r="AF526" s="83"/>
      <c r="AG526" s="83"/>
      <c r="AH526" s="83"/>
      <c r="AI526" s="83"/>
      <c r="AJ526" s="83"/>
      <c r="AK526" s="83"/>
      <c r="AL526" s="83"/>
      <c r="AM526" s="83"/>
      <c r="AN526" s="83"/>
      <c r="AO526" s="83"/>
      <c r="AP526" s="83"/>
      <c r="AQ526" s="83"/>
      <c r="AR526" s="83"/>
      <c r="AS526" s="83"/>
      <c r="AT526" s="83"/>
      <c r="AU526" s="83"/>
      <c r="AV526" s="83"/>
      <c r="AW526" s="83"/>
      <c r="AX526" s="83"/>
      <c r="AY526" s="83"/>
      <c r="AZ526" s="83"/>
      <c r="BA526" s="83"/>
      <c r="BB526" s="83"/>
      <c r="BC526" s="83"/>
      <c r="BD526" s="83"/>
      <c r="BE526" s="83"/>
      <c r="BF526" s="83"/>
      <c r="BG526" s="83"/>
      <c r="BH526" s="83"/>
      <c r="BI526" s="83"/>
      <c r="BJ526" s="83"/>
      <c r="BK526" s="83"/>
      <c r="BL526" s="83"/>
      <c r="BM526" s="83"/>
      <c r="BN526" s="83"/>
      <c r="BO526" s="83"/>
      <c r="BP526" s="83"/>
      <c r="BQ526" s="83"/>
      <c r="BR526" s="83"/>
      <c r="BS526" s="83"/>
      <c r="BT526" s="83"/>
      <c r="BU526" s="83"/>
    </row>
    <row r="527" spans="15:73"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  <c r="AA527" s="83"/>
      <c r="AB527" s="83"/>
      <c r="AC527" s="83"/>
      <c r="AD527" s="83"/>
      <c r="AE527" s="83"/>
      <c r="AF527" s="83"/>
      <c r="AG527" s="83"/>
      <c r="AH527" s="83"/>
      <c r="AI527" s="83"/>
      <c r="AJ527" s="83"/>
      <c r="AK527" s="83"/>
      <c r="AL527" s="83"/>
      <c r="AM527" s="83"/>
      <c r="AN527" s="83"/>
      <c r="AO527" s="83"/>
      <c r="AP527" s="83"/>
      <c r="AQ527" s="83"/>
      <c r="AR527" s="83"/>
      <c r="AS527" s="83"/>
      <c r="AT527" s="83"/>
      <c r="AU527" s="83"/>
      <c r="AV527" s="83"/>
      <c r="AW527" s="83"/>
      <c r="AX527" s="83"/>
      <c r="AY527" s="83"/>
      <c r="AZ527" s="83"/>
      <c r="BA527" s="83"/>
      <c r="BB527" s="83"/>
      <c r="BC527" s="83"/>
      <c r="BD527" s="83"/>
      <c r="BE527" s="83"/>
      <c r="BF527" s="83"/>
      <c r="BG527" s="83"/>
      <c r="BH527" s="83"/>
      <c r="BI527" s="83"/>
      <c r="BJ527" s="83"/>
      <c r="BK527" s="83"/>
      <c r="BL527" s="83"/>
      <c r="BM527" s="83"/>
      <c r="BN527" s="83"/>
      <c r="BO527" s="83"/>
      <c r="BP527" s="83"/>
      <c r="BQ527" s="83"/>
      <c r="BR527" s="83"/>
      <c r="BS527" s="83"/>
      <c r="BT527" s="83"/>
      <c r="BU527" s="83"/>
    </row>
    <row r="528" spans="15:73"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  <c r="AA528" s="83"/>
      <c r="AB528" s="83"/>
      <c r="AC528" s="83"/>
      <c r="AD528" s="83"/>
      <c r="AE528" s="83"/>
      <c r="AF528" s="83"/>
      <c r="AG528" s="83"/>
      <c r="AH528" s="83"/>
      <c r="AI528" s="83"/>
      <c r="AJ528" s="83"/>
      <c r="AK528" s="83"/>
      <c r="AL528" s="83"/>
      <c r="AM528" s="83"/>
      <c r="AN528" s="83"/>
      <c r="AO528" s="83"/>
      <c r="AP528" s="83"/>
      <c r="AQ528" s="83"/>
      <c r="AR528" s="83"/>
      <c r="AS528" s="83"/>
      <c r="AT528" s="83"/>
      <c r="AU528" s="83"/>
      <c r="AV528" s="83"/>
      <c r="AW528" s="83"/>
      <c r="AX528" s="83"/>
      <c r="AY528" s="83"/>
      <c r="AZ528" s="83"/>
      <c r="BA528" s="83"/>
      <c r="BB528" s="83"/>
      <c r="BC528" s="83"/>
      <c r="BD528" s="83"/>
      <c r="BE528" s="83"/>
      <c r="BF528" s="83"/>
      <c r="BG528" s="83"/>
      <c r="BH528" s="83"/>
      <c r="BI528" s="83"/>
      <c r="BJ528" s="83"/>
      <c r="BK528" s="83"/>
      <c r="BL528" s="83"/>
      <c r="BM528" s="83"/>
      <c r="BN528" s="83"/>
      <c r="BO528" s="83"/>
      <c r="BP528" s="83"/>
      <c r="BQ528" s="83"/>
      <c r="BR528" s="83"/>
      <c r="BS528" s="83"/>
      <c r="BT528" s="83"/>
      <c r="BU528" s="83"/>
    </row>
    <row r="529" spans="15:73"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  <c r="AA529" s="83"/>
      <c r="AB529" s="83"/>
      <c r="AC529" s="83"/>
      <c r="AD529" s="83"/>
      <c r="AE529" s="83"/>
      <c r="AF529" s="83"/>
      <c r="AG529" s="83"/>
      <c r="AH529" s="83"/>
      <c r="AI529" s="83"/>
      <c r="AJ529" s="83"/>
      <c r="AK529" s="83"/>
      <c r="AL529" s="83"/>
      <c r="AM529" s="83"/>
      <c r="AN529" s="83"/>
      <c r="AO529" s="83"/>
      <c r="AP529" s="83"/>
      <c r="AQ529" s="83"/>
      <c r="AR529" s="83"/>
      <c r="AS529" s="83"/>
      <c r="AT529" s="83"/>
      <c r="AU529" s="83"/>
      <c r="AV529" s="83"/>
      <c r="AW529" s="83"/>
      <c r="AX529" s="83"/>
      <c r="AY529" s="83"/>
      <c r="AZ529" s="83"/>
      <c r="BA529" s="83"/>
      <c r="BB529" s="83"/>
      <c r="BC529" s="83"/>
      <c r="BD529" s="83"/>
      <c r="BE529" s="83"/>
      <c r="BF529" s="83"/>
      <c r="BG529" s="83"/>
      <c r="BH529" s="83"/>
      <c r="BI529" s="83"/>
      <c r="BJ529" s="83"/>
      <c r="BK529" s="83"/>
      <c r="BL529" s="83"/>
      <c r="BM529" s="83"/>
      <c r="BN529" s="83"/>
      <c r="BO529" s="83"/>
      <c r="BP529" s="83"/>
      <c r="BQ529" s="83"/>
      <c r="BR529" s="83"/>
      <c r="BS529" s="83"/>
      <c r="BT529" s="83"/>
      <c r="BU529" s="83"/>
    </row>
    <row r="530" spans="15:73"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  <c r="AA530" s="83"/>
      <c r="AB530" s="83"/>
      <c r="AC530" s="83"/>
      <c r="AD530" s="83"/>
      <c r="AE530" s="83"/>
      <c r="AF530" s="83"/>
      <c r="AG530" s="83"/>
      <c r="AH530" s="83"/>
      <c r="AI530" s="83"/>
      <c r="AJ530" s="83"/>
      <c r="AK530" s="83"/>
      <c r="AL530" s="83"/>
      <c r="AM530" s="83"/>
      <c r="AN530" s="83"/>
      <c r="AO530" s="83"/>
      <c r="AP530" s="83"/>
      <c r="AQ530" s="83"/>
      <c r="AR530" s="83"/>
      <c r="AS530" s="83"/>
      <c r="AT530" s="83"/>
      <c r="AU530" s="83"/>
      <c r="AV530" s="83"/>
      <c r="AW530" s="83"/>
      <c r="AX530" s="83"/>
      <c r="AY530" s="83"/>
      <c r="AZ530" s="83"/>
      <c r="BA530" s="83"/>
      <c r="BB530" s="83"/>
      <c r="BC530" s="83"/>
      <c r="BD530" s="83"/>
      <c r="BE530" s="83"/>
      <c r="BF530" s="83"/>
      <c r="BG530" s="83"/>
      <c r="BH530" s="83"/>
      <c r="BI530" s="83"/>
      <c r="BJ530" s="83"/>
      <c r="BK530" s="83"/>
      <c r="BL530" s="83"/>
      <c r="BM530" s="83"/>
      <c r="BN530" s="83"/>
      <c r="BO530" s="83"/>
      <c r="BP530" s="83"/>
      <c r="BQ530" s="83"/>
      <c r="BR530" s="83"/>
      <c r="BS530" s="83"/>
      <c r="BT530" s="83"/>
      <c r="BU530" s="83"/>
    </row>
    <row r="531" spans="15:73"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  <c r="AA531" s="83"/>
      <c r="AB531" s="83"/>
      <c r="AC531" s="83"/>
      <c r="AD531" s="83"/>
      <c r="AE531" s="83"/>
      <c r="AF531" s="83"/>
      <c r="AG531" s="83"/>
      <c r="AH531" s="83"/>
      <c r="AI531" s="83"/>
      <c r="AJ531" s="83"/>
      <c r="AK531" s="83"/>
      <c r="AL531" s="83"/>
      <c r="AM531" s="83"/>
      <c r="AN531" s="83"/>
      <c r="AO531" s="83"/>
      <c r="AP531" s="83"/>
      <c r="AQ531" s="83"/>
      <c r="AR531" s="83"/>
      <c r="AS531" s="83"/>
      <c r="AT531" s="83"/>
      <c r="AU531" s="83"/>
      <c r="AV531" s="83"/>
      <c r="AW531" s="83"/>
      <c r="AX531" s="83"/>
      <c r="AY531" s="83"/>
      <c r="AZ531" s="83"/>
      <c r="BA531" s="83"/>
      <c r="BB531" s="83"/>
      <c r="BC531" s="83"/>
      <c r="BD531" s="83"/>
      <c r="BE531" s="83"/>
      <c r="BF531" s="83"/>
      <c r="BG531" s="83"/>
      <c r="BH531" s="83"/>
      <c r="BI531" s="83"/>
      <c r="BJ531" s="83"/>
      <c r="BK531" s="83"/>
      <c r="BL531" s="83"/>
      <c r="BM531" s="83"/>
      <c r="BN531" s="83"/>
      <c r="BO531" s="83"/>
      <c r="BP531" s="83"/>
      <c r="BQ531" s="83"/>
      <c r="BR531" s="83"/>
      <c r="BS531" s="83"/>
      <c r="BT531" s="83"/>
      <c r="BU531" s="83"/>
    </row>
    <row r="532" spans="15:73"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  <c r="AA532" s="83"/>
      <c r="AB532" s="83"/>
      <c r="AC532" s="83"/>
      <c r="AD532" s="83"/>
      <c r="AE532" s="83"/>
      <c r="AF532" s="83"/>
      <c r="AG532" s="83"/>
      <c r="AH532" s="83"/>
      <c r="AI532" s="83"/>
      <c r="AJ532" s="83"/>
      <c r="AK532" s="83"/>
      <c r="AL532" s="83"/>
      <c r="AM532" s="83"/>
      <c r="AN532" s="83"/>
      <c r="AO532" s="83"/>
      <c r="AP532" s="83"/>
      <c r="AQ532" s="83"/>
      <c r="AR532" s="83"/>
      <c r="AS532" s="83"/>
      <c r="AT532" s="83"/>
      <c r="AU532" s="83"/>
      <c r="AV532" s="83"/>
      <c r="AW532" s="83"/>
      <c r="AX532" s="83"/>
      <c r="AY532" s="83"/>
      <c r="AZ532" s="83"/>
      <c r="BA532" s="83"/>
      <c r="BB532" s="83"/>
      <c r="BC532" s="83"/>
      <c r="BD532" s="83"/>
      <c r="BE532" s="83"/>
      <c r="BF532" s="83"/>
      <c r="BG532" s="83"/>
      <c r="BH532" s="83"/>
      <c r="BI532" s="83"/>
      <c r="BJ532" s="83"/>
      <c r="BK532" s="83"/>
      <c r="BL532" s="83"/>
      <c r="BM532" s="83"/>
      <c r="BN532" s="83"/>
      <c r="BO532" s="83"/>
      <c r="BP532" s="83"/>
      <c r="BQ532" s="83"/>
      <c r="BR532" s="83"/>
      <c r="BS532" s="83"/>
      <c r="BT532" s="83"/>
      <c r="BU532" s="83"/>
    </row>
    <row r="533" spans="15:73"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  <c r="AA533" s="83"/>
      <c r="AB533" s="83"/>
      <c r="AC533" s="83"/>
      <c r="AD533" s="83"/>
      <c r="AE533" s="83"/>
      <c r="AF533" s="83"/>
      <c r="AG533" s="83"/>
      <c r="AH533" s="83"/>
      <c r="AI533" s="83"/>
      <c r="AJ533" s="83"/>
      <c r="AK533" s="83"/>
      <c r="AL533" s="83"/>
      <c r="AM533" s="83"/>
      <c r="AN533" s="83"/>
      <c r="AO533" s="83"/>
      <c r="AP533" s="83"/>
      <c r="AQ533" s="83"/>
      <c r="AR533" s="83"/>
      <c r="AS533" s="83"/>
      <c r="AT533" s="83"/>
      <c r="AU533" s="83"/>
      <c r="AV533" s="83"/>
      <c r="AW533" s="83"/>
      <c r="AX533" s="83"/>
      <c r="AY533" s="83"/>
      <c r="AZ533" s="83"/>
      <c r="BA533" s="83"/>
      <c r="BB533" s="83"/>
      <c r="BC533" s="83"/>
      <c r="BD533" s="83"/>
      <c r="BE533" s="83"/>
      <c r="BF533" s="83"/>
      <c r="BG533" s="83"/>
      <c r="BH533" s="83"/>
      <c r="BI533" s="83"/>
      <c r="BJ533" s="83"/>
      <c r="BK533" s="83"/>
      <c r="BL533" s="83"/>
      <c r="BM533" s="83"/>
      <c r="BN533" s="83"/>
      <c r="BO533" s="83"/>
      <c r="BP533" s="83"/>
      <c r="BQ533" s="83"/>
      <c r="BR533" s="83"/>
      <c r="BS533" s="83"/>
      <c r="BT533" s="83"/>
      <c r="BU533" s="83"/>
    </row>
    <row r="534" spans="15:73"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  <c r="AA534" s="83"/>
      <c r="AB534" s="83"/>
      <c r="AC534" s="83"/>
      <c r="AD534" s="83"/>
      <c r="AE534" s="83"/>
      <c r="AF534" s="83"/>
      <c r="AG534" s="83"/>
      <c r="AH534" s="83"/>
      <c r="AI534" s="83"/>
      <c r="AJ534" s="83"/>
      <c r="AK534" s="83"/>
      <c r="AL534" s="83"/>
      <c r="AM534" s="83"/>
      <c r="AN534" s="83"/>
      <c r="AO534" s="83"/>
      <c r="AP534" s="83"/>
      <c r="AQ534" s="83"/>
      <c r="AR534" s="83"/>
      <c r="AS534" s="83"/>
      <c r="AT534" s="83"/>
      <c r="AU534" s="83"/>
      <c r="AV534" s="83"/>
      <c r="AW534" s="83"/>
      <c r="AX534" s="83"/>
      <c r="AY534" s="83"/>
      <c r="AZ534" s="83"/>
      <c r="BA534" s="83"/>
      <c r="BB534" s="83"/>
      <c r="BC534" s="83"/>
      <c r="BD534" s="83"/>
      <c r="BE534" s="83"/>
      <c r="BF534" s="83"/>
      <c r="BG534" s="83"/>
      <c r="BH534" s="83"/>
      <c r="BI534" s="83"/>
      <c r="BJ534" s="83"/>
      <c r="BK534" s="83"/>
      <c r="BL534" s="83"/>
      <c r="BM534" s="83"/>
      <c r="BN534" s="83"/>
      <c r="BO534" s="83"/>
      <c r="BP534" s="83"/>
      <c r="BQ534" s="83"/>
      <c r="BR534" s="83"/>
      <c r="BS534" s="83"/>
      <c r="BT534" s="83"/>
      <c r="BU534" s="83"/>
    </row>
    <row r="535" spans="15:73"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  <c r="AA535" s="83"/>
      <c r="AB535" s="83"/>
      <c r="AC535" s="83"/>
      <c r="AD535" s="83"/>
      <c r="AE535" s="83"/>
      <c r="AF535" s="83"/>
      <c r="AG535" s="83"/>
      <c r="AH535" s="83"/>
      <c r="AI535" s="83"/>
      <c r="AJ535" s="83"/>
      <c r="AK535" s="83"/>
      <c r="AL535" s="83"/>
      <c r="AM535" s="83"/>
      <c r="AN535" s="83"/>
      <c r="AO535" s="83"/>
      <c r="AP535" s="83"/>
      <c r="AQ535" s="83"/>
      <c r="AR535" s="83"/>
      <c r="AS535" s="83"/>
      <c r="AT535" s="83"/>
      <c r="AU535" s="83"/>
      <c r="AV535" s="83"/>
      <c r="AW535" s="83"/>
      <c r="AX535" s="83"/>
      <c r="AY535" s="83"/>
      <c r="AZ535" s="83"/>
      <c r="BA535" s="83"/>
      <c r="BB535" s="83"/>
      <c r="BC535" s="83"/>
      <c r="BD535" s="83"/>
      <c r="BE535" s="83"/>
      <c r="BF535" s="83"/>
      <c r="BG535" s="83"/>
      <c r="BH535" s="83"/>
      <c r="BI535" s="83"/>
      <c r="BJ535" s="83"/>
      <c r="BK535" s="83"/>
      <c r="BL535" s="83"/>
      <c r="BM535" s="83"/>
      <c r="BN535" s="83"/>
      <c r="BO535" s="83"/>
      <c r="BP535" s="83"/>
      <c r="BQ535" s="83"/>
      <c r="BR535" s="83"/>
      <c r="BS535" s="83"/>
      <c r="BT535" s="83"/>
      <c r="BU535" s="83"/>
    </row>
    <row r="536" spans="15:73"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  <c r="AA536" s="83"/>
      <c r="AB536" s="83"/>
      <c r="AC536" s="83"/>
      <c r="AD536" s="83"/>
      <c r="AE536" s="83"/>
      <c r="AF536" s="83"/>
      <c r="AG536" s="83"/>
      <c r="AH536" s="83"/>
      <c r="AI536" s="83"/>
      <c r="AJ536" s="83"/>
      <c r="AK536" s="83"/>
      <c r="AL536" s="83"/>
      <c r="AM536" s="83"/>
      <c r="AN536" s="83"/>
      <c r="AO536" s="83"/>
      <c r="AP536" s="83"/>
      <c r="AQ536" s="83"/>
      <c r="AR536" s="83"/>
      <c r="AS536" s="83"/>
      <c r="AT536" s="83"/>
      <c r="AU536" s="83"/>
      <c r="AV536" s="83"/>
      <c r="AW536" s="83"/>
      <c r="AX536" s="83"/>
      <c r="AY536" s="83"/>
      <c r="AZ536" s="83"/>
      <c r="BA536" s="83"/>
      <c r="BB536" s="83"/>
      <c r="BC536" s="83"/>
      <c r="BD536" s="83"/>
      <c r="BE536" s="83"/>
      <c r="BF536" s="83"/>
      <c r="BG536" s="83"/>
      <c r="BH536" s="83"/>
      <c r="BI536" s="83"/>
      <c r="BJ536" s="83"/>
      <c r="BK536" s="83"/>
      <c r="BL536" s="83"/>
      <c r="BM536" s="83"/>
      <c r="BN536" s="83"/>
      <c r="BO536" s="83"/>
      <c r="BP536" s="83"/>
      <c r="BQ536" s="83"/>
      <c r="BR536" s="83"/>
      <c r="BS536" s="83"/>
      <c r="BT536" s="83"/>
      <c r="BU536" s="83"/>
    </row>
    <row r="537" spans="15:73"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  <c r="AA537" s="83"/>
      <c r="AB537" s="83"/>
      <c r="AC537" s="83"/>
      <c r="AD537" s="83"/>
      <c r="AE537" s="83"/>
      <c r="AF537" s="83"/>
      <c r="AG537" s="83"/>
      <c r="AH537" s="83"/>
      <c r="AI537" s="83"/>
      <c r="AJ537" s="83"/>
      <c r="AK537" s="83"/>
      <c r="AL537" s="83"/>
      <c r="AM537" s="83"/>
      <c r="AN537" s="83"/>
      <c r="AO537" s="83"/>
      <c r="AP537" s="83"/>
      <c r="AQ537" s="83"/>
      <c r="AR537" s="83"/>
      <c r="AS537" s="83"/>
      <c r="AT537" s="83"/>
      <c r="AU537" s="83"/>
      <c r="AV537" s="83"/>
      <c r="AW537" s="83"/>
      <c r="AX537" s="83"/>
      <c r="AY537" s="83"/>
      <c r="AZ537" s="83"/>
      <c r="BA537" s="83"/>
      <c r="BB537" s="83"/>
      <c r="BC537" s="83"/>
      <c r="BD537" s="83"/>
      <c r="BE537" s="83"/>
      <c r="BF537" s="83"/>
      <c r="BG537" s="83"/>
      <c r="BH537" s="83"/>
      <c r="BI537" s="83"/>
      <c r="BJ537" s="83"/>
      <c r="BK537" s="83"/>
      <c r="BL537" s="83"/>
      <c r="BM537" s="83"/>
      <c r="BN537" s="83"/>
      <c r="BO537" s="83"/>
      <c r="BP537" s="83"/>
      <c r="BQ537" s="83"/>
      <c r="BR537" s="83"/>
      <c r="BS537" s="83"/>
      <c r="BT537" s="83"/>
      <c r="BU537" s="83"/>
    </row>
    <row r="538" spans="15:73"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  <c r="AA538" s="83"/>
      <c r="AB538" s="83"/>
      <c r="AC538" s="83"/>
      <c r="AD538" s="83"/>
      <c r="AE538" s="83"/>
      <c r="AF538" s="83"/>
      <c r="AG538" s="83"/>
      <c r="AH538" s="83"/>
      <c r="AI538" s="83"/>
      <c r="AJ538" s="83"/>
      <c r="AK538" s="83"/>
      <c r="AL538" s="83"/>
      <c r="AM538" s="83"/>
      <c r="AN538" s="83"/>
      <c r="AO538" s="83"/>
      <c r="AP538" s="83"/>
      <c r="AQ538" s="83"/>
      <c r="AR538" s="83"/>
      <c r="AS538" s="83"/>
      <c r="AT538" s="83"/>
      <c r="AU538" s="83"/>
      <c r="AV538" s="83"/>
      <c r="AW538" s="83"/>
      <c r="AX538" s="83"/>
      <c r="AY538" s="83"/>
      <c r="AZ538" s="83"/>
      <c r="BA538" s="83"/>
      <c r="BB538" s="83"/>
      <c r="BC538" s="83"/>
      <c r="BD538" s="83"/>
      <c r="BE538" s="83"/>
      <c r="BF538" s="83"/>
      <c r="BG538" s="83"/>
      <c r="BH538" s="83"/>
      <c r="BI538" s="83"/>
      <c r="BJ538" s="83"/>
      <c r="BK538" s="83"/>
      <c r="BL538" s="83"/>
      <c r="BM538" s="83"/>
      <c r="BN538" s="83"/>
      <c r="BO538" s="83"/>
      <c r="BP538" s="83"/>
      <c r="BQ538" s="83"/>
      <c r="BR538" s="83"/>
      <c r="BS538" s="83"/>
      <c r="BT538" s="83"/>
      <c r="BU538" s="83"/>
    </row>
    <row r="539" spans="15:73"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  <c r="AA539" s="83"/>
      <c r="AB539" s="83"/>
      <c r="AC539" s="83"/>
      <c r="AD539" s="83"/>
      <c r="AE539" s="83"/>
      <c r="AF539" s="83"/>
      <c r="AG539" s="83"/>
      <c r="AH539" s="83"/>
      <c r="AI539" s="83"/>
      <c r="AJ539" s="83"/>
      <c r="AK539" s="83"/>
      <c r="AL539" s="83"/>
      <c r="AM539" s="83"/>
      <c r="AN539" s="83"/>
      <c r="AO539" s="83"/>
      <c r="AP539" s="83"/>
      <c r="AQ539" s="83"/>
      <c r="AR539" s="83"/>
      <c r="AS539" s="83"/>
      <c r="AT539" s="83"/>
      <c r="AU539" s="83"/>
      <c r="AV539" s="83"/>
      <c r="AW539" s="83"/>
      <c r="AX539" s="83"/>
      <c r="AY539" s="83"/>
      <c r="AZ539" s="83"/>
      <c r="BA539" s="83"/>
      <c r="BB539" s="83"/>
      <c r="BC539" s="83"/>
      <c r="BD539" s="83"/>
      <c r="BE539" s="83"/>
      <c r="BF539" s="83"/>
      <c r="BG539" s="83"/>
      <c r="BH539" s="83"/>
      <c r="BI539" s="83"/>
      <c r="BJ539" s="83"/>
      <c r="BK539" s="83"/>
      <c r="BL539" s="83"/>
      <c r="BM539" s="83"/>
      <c r="BN539" s="83"/>
      <c r="BO539" s="83"/>
      <c r="BP539" s="83"/>
      <c r="BQ539" s="83"/>
      <c r="BR539" s="83"/>
      <c r="BS539" s="83"/>
      <c r="BT539" s="83"/>
      <c r="BU539" s="83"/>
    </row>
    <row r="540" spans="15:73"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  <c r="AA540" s="83"/>
      <c r="AB540" s="83"/>
      <c r="AC540" s="83"/>
      <c r="AD540" s="83"/>
      <c r="AE540" s="83"/>
      <c r="AF540" s="83"/>
      <c r="AG540" s="83"/>
      <c r="AH540" s="83"/>
      <c r="AI540" s="83"/>
      <c r="AJ540" s="83"/>
      <c r="AK540" s="83"/>
      <c r="AL540" s="83"/>
      <c r="AM540" s="83"/>
      <c r="AN540" s="83"/>
      <c r="AO540" s="83"/>
      <c r="AP540" s="83"/>
      <c r="AQ540" s="83"/>
      <c r="AR540" s="83"/>
      <c r="AS540" s="83"/>
      <c r="AT540" s="83"/>
      <c r="AU540" s="83"/>
      <c r="AV540" s="83"/>
      <c r="AW540" s="83"/>
      <c r="AX540" s="83"/>
      <c r="AY540" s="83"/>
      <c r="AZ540" s="83"/>
      <c r="BA540" s="83"/>
      <c r="BB540" s="83"/>
      <c r="BC540" s="83"/>
      <c r="BD540" s="83"/>
      <c r="BE540" s="83"/>
      <c r="BF540" s="83"/>
      <c r="BG540" s="83"/>
      <c r="BH540" s="83"/>
      <c r="BI540" s="83"/>
      <c r="BJ540" s="83"/>
      <c r="BK540" s="83"/>
      <c r="BL540" s="83"/>
      <c r="BM540" s="83"/>
      <c r="BN540" s="83"/>
      <c r="BO540" s="83"/>
      <c r="BP540" s="83"/>
      <c r="BQ540" s="83"/>
      <c r="BR540" s="83"/>
      <c r="BS540" s="83"/>
      <c r="BT540" s="83"/>
      <c r="BU540" s="83"/>
    </row>
    <row r="541" spans="15:73"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  <c r="AA541" s="83"/>
      <c r="AB541" s="83"/>
      <c r="AC541" s="83"/>
      <c r="AD541" s="83"/>
      <c r="AE541" s="83"/>
      <c r="AF541" s="83"/>
      <c r="AG541" s="83"/>
      <c r="AH541" s="83"/>
      <c r="AI541" s="83"/>
      <c r="AJ541" s="83"/>
      <c r="AK541" s="83"/>
      <c r="AL541" s="83"/>
      <c r="AM541" s="83"/>
      <c r="AN541" s="83"/>
      <c r="AO541" s="83"/>
      <c r="AP541" s="83"/>
      <c r="AQ541" s="83"/>
      <c r="AR541" s="83"/>
      <c r="AS541" s="83"/>
      <c r="AT541" s="83"/>
      <c r="AU541" s="83"/>
      <c r="AV541" s="83"/>
      <c r="AW541" s="83"/>
      <c r="AX541" s="83"/>
      <c r="AY541" s="83"/>
      <c r="AZ541" s="83"/>
      <c r="BA541" s="83"/>
      <c r="BB541" s="83"/>
      <c r="BC541" s="83"/>
      <c r="BD541" s="83"/>
      <c r="BE541" s="83"/>
      <c r="BF541" s="83"/>
      <c r="BG541" s="83"/>
      <c r="BH541" s="83"/>
      <c r="BI541" s="83"/>
      <c r="BJ541" s="83"/>
      <c r="BK541" s="83"/>
      <c r="BL541" s="83"/>
      <c r="BM541" s="83"/>
      <c r="BN541" s="83"/>
      <c r="BO541" s="83"/>
      <c r="BP541" s="83"/>
      <c r="BQ541" s="83"/>
      <c r="BR541" s="83"/>
      <c r="BS541" s="83"/>
      <c r="BT541" s="83"/>
      <c r="BU541" s="83"/>
    </row>
    <row r="542" spans="15:73"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  <c r="AA542" s="83"/>
      <c r="AB542" s="83"/>
      <c r="AC542" s="83"/>
      <c r="AD542" s="83"/>
      <c r="AE542" s="83"/>
      <c r="AF542" s="83"/>
      <c r="AG542" s="83"/>
      <c r="AH542" s="83"/>
      <c r="AI542" s="83"/>
      <c r="AJ542" s="83"/>
      <c r="AK542" s="83"/>
      <c r="AL542" s="83"/>
      <c r="AM542" s="83"/>
      <c r="AN542" s="83"/>
      <c r="AO542" s="83"/>
      <c r="AP542" s="83"/>
      <c r="AQ542" s="83"/>
      <c r="AR542" s="83"/>
      <c r="AS542" s="83"/>
      <c r="AT542" s="83"/>
      <c r="AU542" s="83"/>
      <c r="AV542" s="83"/>
      <c r="AW542" s="83"/>
      <c r="AX542" s="83"/>
      <c r="AY542" s="83"/>
      <c r="AZ542" s="83"/>
      <c r="BA542" s="83"/>
      <c r="BB542" s="83"/>
      <c r="BC542" s="83"/>
      <c r="BD542" s="83"/>
      <c r="BE542" s="83"/>
      <c r="BF542" s="83"/>
      <c r="BG542" s="83"/>
      <c r="BH542" s="83"/>
      <c r="BI542" s="83"/>
      <c r="BJ542" s="83"/>
      <c r="BK542" s="83"/>
      <c r="BL542" s="83"/>
      <c r="BM542" s="83"/>
      <c r="BN542" s="83"/>
      <c r="BO542" s="83"/>
      <c r="BP542" s="83"/>
      <c r="BQ542" s="83"/>
      <c r="BR542" s="83"/>
      <c r="BS542" s="83"/>
      <c r="BT542" s="83"/>
      <c r="BU542" s="83"/>
    </row>
    <row r="543" spans="15:73"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  <c r="AA543" s="83"/>
      <c r="AB543" s="83"/>
      <c r="AC543" s="83"/>
      <c r="AD543" s="83"/>
      <c r="AE543" s="83"/>
      <c r="AF543" s="83"/>
      <c r="AG543" s="83"/>
      <c r="AH543" s="83"/>
      <c r="AI543" s="83"/>
      <c r="AJ543" s="83"/>
      <c r="AK543" s="83"/>
      <c r="AL543" s="83"/>
      <c r="AM543" s="83"/>
      <c r="AN543" s="83"/>
      <c r="AO543" s="83"/>
      <c r="AP543" s="83"/>
      <c r="AQ543" s="83"/>
      <c r="AR543" s="83"/>
      <c r="AS543" s="83"/>
      <c r="AT543" s="83"/>
      <c r="AU543" s="83"/>
      <c r="AV543" s="83"/>
      <c r="AW543" s="83"/>
      <c r="AX543" s="83"/>
      <c r="AY543" s="83"/>
      <c r="AZ543" s="83"/>
      <c r="BA543" s="83"/>
      <c r="BB543" s="83"/>
      <c r="BC543" s="83"/>
      <c r="BD543" s="83"/>
      <c r="BE543" s="83"/>
      <c r="BF543" s="83"/>
      <c r="BG543" s="83"/>
      <c r="BH543" s="83"/>
      <c r="BI543" s="83"/>
      <c r="BJ543" s="83"/>
      <c r="BK543" s="83"/>
      <c r="BL543" s="83"/>
      <c r="BM543" s="83"/>
      <c r="BN543" s="83"/>
      <c r="BO543" s="83"/>
      <c r="BP543" s="83"/>
      <c r="BQ543" s="83"/>
      <c r="BR543" s="83"/>
      <c r="BS543" s="83"/>
      <c r="BT543" s="83"/>
      <c r="BU543" s="83"/>
    </row>
    <row r="544" spans="15:73"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  <c r="AA544" s="83"/>
      <c r="AB544" s="83"/>
      <c r="AC544" s="83"/>
      <c r="AD544" s="83"/>
      <c r="AE544" s="83"/>
      <c r="AF544" s="83"/>
      <c r="AG544" s="83"/>
      <c r="AH544" s="83"/>
      <c r="AI544" s="83"/>
      <c r="AJ544" s="83"/>
      <c r="AK544" s="83"/>
      <c r="AL544" s="83"/>
      <c r="AM544" s="83"/>
      <c r="AN544" s="83"/>
      <c r="AO544" s="83"/>
      <c r="AP544" s="83"/>
      <c r="AQ544" s="83"/>
      <c r="AR544" s="83"/>
      <c r="AS544" s="83"/>
      <c r="AT544" s="83"/>
      <c r="AU544" s="83"/>
      <c r="AV544" s="83"/>
      <c r="AW544" s="83"/>
      <c r="AX544" s="83"/>
      <c r="AY544" s="83"/>
      <c r="AZ544" s="83"/>
      <c r="BA544" s="83"/>
      <c r="BB544" s="83"/>
      <c r="BC544" s="83"/>
      <c r="BD544" s="83"/>
      <c r="BE544" s="83"/>
      <c r="BF544" s="83"/>
      <c r="BG544" s="83"/>
      <c r="BH544" s="83"/>
      <c r="BI544" s="83"/>
      <c r="BJ544" s="83"/>
      <c r="BK544" s="83"/>
      <c r="BL544" s="83"/>
      <c r="BM544" s="83"/>
      <c r="BN544" s="83"/>
      <c r="BO544" s="83"/>
      <c r="BP544" s="83"/>
      <c r="BQ544" s="83"/>
      <c r="BR544" s="83"/>
      <c r="BS544" s="83"/>
      <c r="BT544" s="83"/>
      <c r="BU544" s="83"/>
    </row>
    <row r="545" spans="15:73"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  <c r="AA545" s="83"/>
      <c r="AB545" s="83"/>
      <c r="AC545" s="83"/>
      <c r="AD545" s="83"/>
      <c r="AE545" s="83"/>
      <c r="AF545" s="83"/>
      <c r="AG545" s="83"/>
      <c r="AH545" s="83"/>
      <c r="AI545" s="83"/>
      <c r="AJ545" s="83"/>
      <c r="AK545" s="83"/>
      <c r="AL545" s="83"/>
      <c r="AM545" s="83"/>
      <c r="AN545" s="83"/>
      <c r="AO545" s="83"/>
      <c r="AP545" s="83"/>
      <c r="AQ545" s="83"/>
      <c r="AR545" s="83"/>
      <c r="AS545" s="83"/>
      <c r="AT545" s="83"/>
      <c r="AU545" s="83"/>
      <c r="AV545" s="83"/>
      <c r="AW545" s="83"/>
      <c r="AX545" s="83"/>
      <c r="AY545" s="83"/>
      <c r="AZ545" s="83"/>
      <c r="BA545" s="83"/>
      <c r="BB545" s="83"/>
      <c r="BC545" s="83"/>
      <c r="BD545" s="83"/>
      <c r="BE545" s="83"/>
      <c r="BF545" s="83"/>
      <c r="BG545" s="83"/>
      <c r="BH545" s="83"/>
      <c r="BI545" s="83"/>
      <c r="BJ545" s="83"/>
      <c r="BK545" s="83"/>
      <c r="BL545" s="83"/>
      <c r="BM545" s="83"/>
      <c r="BN545" s="83"/>
      <c r="BO545" s="83"/>
      <c r="BP545" s="83"/>
      <c r="BQ545" s="83"/>
      <c r="BR545" s="83"/>
      <c r="BS545" s="83"/>
      <c r="BT545" s="83"/>
      <c r="BU545" s="83"/>
    </row>
    <row r="546" spans="15:73"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  <c r="AA546" s="83"/>
      <c r="AB546" s="83"/>
      <c r="AC546" s="83"/>
      <c r="AD546" s="83"/>
      <c r="AE546" s="83"/>
      <c r="AF546" s="83"/>
      <c r="AG546" s="83"/>
      <c r="AH546" s="83"/>
      <c r="AI546" s="83"/>
      <c r="AJ546" s="83"/>
      <c r="AK546" s="83"/>
      <c r="AL546" s="83"/>
      <c r="AM546" s="83"/>
      <c r="AN546" s="83"/>
      <c r="AO546" s="83"/>
      <c r="AP546" s="83"/>
      <c r="AQ546" s="83"/>
      <c r="AR546" s="83"/>
      <c r="AS546" s="83"/>
      <c r="AT546" s="83"/>
      <c r="AU546" s="83"/>
      <c r="AV546" s="83"/>
      <c r="AW546" s="83"/>
      <c r="AX546" s="83"/>
      <c r="AY546" s="83"/>
      <c r="AZ546" s="83"/>
      <c r="BA546" s="83"/>
      <c r="BB546" s="83"/>
      <c r="BC546" s="83"/>
      <c r="BD546" s="83"/>
      <c r="BE546" s="83"/>
      <c r="BF546" s="83"/>
      <c r="BG546" s="83"/>
      <c r="BH546" s="83"/>
      <c r="BI546" s="83"/>
      <c r="BJ546" s="83"/>
      <c r="BK546" s="83"/>
      <c r="BL546" s="83"/>
      <c r="BM546" s="83"/>
      <c r="BN546" s="83"/>
      <c r="BO546" s="83"/>
      <c r="BP546" s="83"/>
      <c r="BQ546" s="83"/>
      <c r="BR546" s="83"/>
      <c r="BS546" s="83"/>
      <c r="BT546" s="83"/>
      <c r="BU546" s="83"/>
    </row>
    <row r="547" spans="15:73"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  <c r="AA547" s="83"/>
      <c r="AB547" s="83"/>
      <c r="AC547" s="83"/>
      <c r="AD547" s="83"/>
      <c r="AE547" s="83"/>
      <c r="AF547" s="83"/>
      <c r="AG547" s="83"/>
      <c r="AH547" s="83"/>
      <c r="AI547" s="83"/>
      <c r="AJ547" s="83"/>
      <c r="AK547" s="83"/>
      <c r="AL547" s="83"/>
      <c r="AM547" s="83"/>
      <c r="AN547" s="83"/>
      <c r="AO547" s="83"/>
      <c r="AP547" s="83"/>
      <c r="AQ547" s="83"/>
      <c r="AR547" s="83"/>
      <c r="AS547" s="83"/>
      <c r="AT547" s="83"/>
      <c r="AU547" s="83"/>
      <c r="AV547" s="83"/>
      <c r="AW547" s="83"/>
      <c r="AX547" s="83"/>
      <c r="AY547" s="83"/>
      <c r="AZ547" s="83"/>
      <c r="BA547" s="83"/>
      <c r="BB547" s="83"/>
      <c r="BC547" s="83"/>
      <c r="BD547" s="83"/>
      <c r="BE547" s="83"/>
      <c r="BF547" s="83"/>
      <c r="BG547" s="83"/>
      <c r="BH547" s="83"/>
      <c r="BI547" s="83"/>
      <c r="BJ547" s="83"/>
      <c r="BK547" s="83"/>
      <c r="BL547" s="83"/>
      <c r="BM547" s="83"/>
      <c r="BN547" s="83"/>
      <c r="BO547" s="83"/>
      <c r="BP547" s="83"/>
      <c r="BQ547" s="83"/>
      <c r="BR547" s="83"/>
      <c r="BS547" s="83"/>
      <c r="BT547" s="83"/>
      <c r="BU547" s="83"/>
    </row>
    <row r="548" spans="15:73"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  <c r="AA548" s="83"/>
      <c r="AB548" s="83"/>
      <c r="AC548" s="83"/>
      <c r="AD548" s="83"/>
      <c r="AE548" s="83"/>
      <c r="AF548" s="83"/>
      <c r="AG548" s="83"/>
      <c r="AH548" s="83"/>
      <c r="AI548" s="83"/>
      <c r="AJ548" s="83"/>
      <c r="AK548" s="83"/>
      <c r="AL548" s="83"/>
      <c r="AM548" s="83"/>
      <c r="AN548" s="83"/>
      <c r="AO548" s="83"/>
      <c r="AP548" s="83"/>
      <c r="AQ548" s="83"/>
      <c r="AR548" s="83"/>
      <c r="AS548" s="83"/>
      <c r="AT548" s="83"/>
      <c r="AU548" s="83"/>
      <c r="AV548" s="83"/>
      <c r="AW548" s="83"/>
      <c r="AX548" s="83"/>
      <c r="AY548" s="83"/>
      <c r="AZ548" s="83"/>
      <c r="BA548" s="83"/>
      <c r="BB548" s="83"/>
      <c r="BC548" s="83"/>
      <c r="BD548" s="83"/>
      <c r="BE548" s="83"/>
      <c r="BF548" s="83"/>
      <c r="BG548" s="83"/>
      <c r="BH548" s="83"/>
      <c r="BI548" s="83"/>
      <c r="BJ548" s="83"/>
      <c r="BK548" s="83"/>
      <c r="BL548" s="83"/>
      <c r="BM548" s="83"/>
      <c r="BN548" s="83"/>
      <c r="BO548" s="83"/>
      <c r="BP548" s="83"/>
      <c r="BQ548" s="83"/>
      <c r="BR548" s="83"/>
      <c r="BS548" s="83"/>
      <c r="BT548" s="83"/>
      <c r="BU548" s="83"/>
    </row>
    <row r="549" spans="15:73"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  <c r="AA549" s="83"/>
      <c r="AB549" s="83"/>
      <c r="AC549" s="83"/>
      <c r="AD549" s="83"/>
      <c r="AE549" s="83"/>
      <c r="AF549" s="83"/>
      <c r="AG549" s="83"/>
      <c r="AH549" s="83"/>
      <c r="AI549" s="83"/>
      <c r="AJ549" s="83"/>
      <c r="AK549" s="83"/>
      <c r="AL549" s="83"/>
      <c r="AM549" s="83"/>
      <c r="AN549" s="83"/>
      <c r="AO549" s="83"/>
      <c r="AP549" s="83"/>
      <c r="AQ549" s="83"/>
      <c r="AR549" s="83"/>
      <c r="AS549" s="83"/>
      <c r="AT549" s="83"/>
      <c r="AU549" s="83"/>
      <c r="AV549" s="83"/>
      <c r="AW549" s="83"/>
      <c r="AX549" s="83"/>
      <c r="AY549" s="83"/>
      <c r="AZ549" s="83"/>
      <c r="BA549" s="83"/>
      <c r="BB549" s="83"/>
      <c r="BC549" s="83"/>
      <c r="BD549" s="83"/>
      <c r="BE549" s="83"/>
      <c r="BF549" s="83"/>
      <c r="BG549" s="83"/>
      <c r="BH549" s="83"/>
      <c r="BI549" s="83"/>
      <c r="BJ549" s="83"/>
      <c r="BK549" s="83"/>
      <c r="BL549" s="83"/>
      <c r="BM549" s="83"/>
      <c r="BN549" s="83"/>
      <c r="BO549" s="83"/>
      <c r="BP549" s="83"/>
      <c r="BQ549" s="83"/>
      <c r="BR549" s="83"/>
      <c r="BS549" s="83"/>
      <c r="BT549" s="83"/>
      <c r="BU549" s="83"/>
    </row>
    <row r="550" spans="15:73"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  <c r="AA550" s="83"/>
      <c r="AB550" s="83"/>
      <c r="AC550" s="83"/>
      <c r="AD550" s="83"/>
      <c r="AE550" s="83"/>
      <c r="AF550" s="83"/>
      <c r="AG550" s="83"/>
      <c r="AH550" s="83"/>
      <c r="AI550" s="83"/>
      <c r="AJ550" s="83"/>
      <c r="AK550" s="83"/>
      <c r="AL550" s="83"/>
      <c r="AM550" s="83"/>
      <c r="AN550" s="83"/>
      <c r="AO550" s="83"/>
      <c r="AP550" s="83"/>
      <c r="AQ550" s="83"/>
      <c r="AR550" s="83"/>
      <c r="AS550" s="83"/>
      <c r="AT550" s="83"/>
      <c r="AU550" s="83"/>
      <c r="AV550" s="83"/>
      <c r="AW550" s="83"/>
      <c r="AX550" s="83"/>
      <c r="AY550" s="83"/>
      <c r="AZ550" s="83"/>
      <c r="BA550" s="83"/>
      <c r="BB550" s="83"/>
      <c r="BC550" s="83"/>
      <c r="BD550" s="83"/>
      <c r="BE550" s="83"/>
      <c r="BF550" s="83"/>
      <c r="BG550" s="83"/>
      <c r="BH550" s="83"/>
      <c r="BI550" s="83"/>
      <c r="BJ550" s="83"/>
      <c r="BK550" s="83"/>
      <c r="BL550" s="83"/>
      <c r="BM550" s="83"/>
      <c r="BN550" s="83"/>
      <c r="BO550" s="83"/>
      <c r="BP550" s="83"/>
      <c r="BQ550" s="83"/>
      <c r="BR550" s="83"/>
      <c r="BS550" s="83"/>
      <c r="BT550" s="83"/>
      <c r="BU550" s="83"/>
    </row>
    <row r="551" spans="15:73"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  <c r="AA551" s="83"/>
      <c r="AB551" s="83"/>
      <c r="AC551" s="83"/>
      <c r="AD551" s="83"/>
      <c r="AE551" s="83"/>
      <c r="AF551" s="83"/>
      <c r="AG551" s="83"/>
      <c r="AH551" s="83"/>
      <c r="AI551" s="83"/>
      <c r="AJ551" s="83"/>
      <c r="AK551" s="83"/>
      <c r="AL551" s="83"/>
      <c r="AM551" s="83"/>
      <c r="AN551" s="83"/>
      <c r="AO551" s="83"/>
      <c r="AP551" s="83"/>
      <c r="AQ551" s="83"/>
      <c r="AR551" s="83"/>
      <c r="AS551" s="83"/>
      <c r="AT551" s="83"/>
      <c r="AU551" s="83"/>
      <c r="AV551" s="83"/>
      <c r="AW551" s="83"/>
      <c r="AX551" s="83"/>
      <c r="AY551" s="83"/>
      <c r="AZ551" s="83"/>
      <c r="BA551" s="83"/>
      <c r="BB551" s="83"/>
      <c r="BC551" s="83"/>
      <c r="BD551" s="83"/>
      <c r="BE551" s="83"/>
      <c r="BF551" s="83"/>
      <c r="BG551" s="83"/>
      <c r="BH551" s="83"/>
      <c r="BI551" s="83"/>
      <c r="BJ551" s="83"/>
      <c r="BK551" s="83"/>
      <c r="BL551" s="83"/>
      <c r="BM551" s="83"/>
      <c r="BN551" s="83"/>
      <c r="BO551" s="83"/>
      <c r="BP551" s="83"/>
      <c r="BQ551" s="83"/>
      <c r="BR551" s="83"/>
      <c r="BS551" s="83"/>
      <c r="BT551" s="83"/>
      <c r="BU551" s="83"/>
    </row>
    <row r="552" spans="15:73"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  <c r="AA552" s="83"/>
      <c r="AB552" s="83"/>
      <c r="AC552" s="83"/>
      <c r="AD552" s="83"/>
      <c r="AE552" s="83"/>
      <c r="AF552" s="83"/>
      <c r="AG552" s="83"/>
      <c r="AH552" s="83"/>
      <c r="AI552" s="83"/>
      <c r="AJ552" s="83"/>
      <c r="AK552" s="83"/>
      <c r="AL552" s="83"/>
      <c r="AM552" s="83"/>
      <c r="AN552" s="83"/>
      <c r="AO552" s="83"/>
      <c r="AP552" s="83"/>
      <c r="AQ552" s="83"/>
      <c r="AR552" s="83"/>
      <c r="AS552" s="83"/>
      <c r="AT552" s="83"/>
      <c r="AU552" s="83"/>
      <c r="AV552" s="83"/>
      <c r="AW552" s="83"/>
      <c r="AX552" s="83"/>
      <c r="AY552" s="83"/>
      <c r="AZ552" s="83"/>
      <c r="BA552" s="83"/>
      <c r="BB552" s="83"/>
      <c r="BC552" s="83"/>
      <c r="BD552" s="83"/>
      <c r="BE552" s="83"/>
      <c r="BF552" s="83"/>
      <c r="BG552" s="83"/>
      <c r="BH552" s="83"/>
      <c r="BI552" s="83"/>
      <c r="BJ552" s="83"/>
      <c r="BK552" s="83"/>
      <c r="BL552" s="83"/>
      <c r="BM552" s="83"/>
      <c r="BN552" s="83"/>
      <c r="BO552" s="83"/>
      <c r="BP552" s="83"/>
      <c r="BQ552" s="83"/>
      <c r="BR552" s="83"/>
      <c r="BS552" s="83"/>
      <c r="BT552" s="83"/>
      <c r="BU552" s="83"/>
    </row>
    <row r="553" spans="15:73"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  <c r="AA553" s="83"/>
      <c r="AB553" s="83"/>
      <c r="AC553" s="83"/>
      <c r="AD553" s="83"/>
      <c r="AE553" s="83"/>
      <c r="AF553" s="83"/>
      <c r="AG553" s="83"/>
      <c r="AH553" s="83"/>
      <c r="AI553" s="83"/>
      <c r="AJ553" s="83"/>
      <c r="AK553" s="83"/>
      <c r="AL553" s="83"/>
      <c r="AM553" s="83"/>
      <c r="AN553" s="83"/>
      <c r="AO553" s="83"/>
      <c r="AP553" s="83"/>
      <c r="AQ553" s="83"/>
      <c r="AR553" s="83"/>
      <c r="AS553" s="83"/>
      <c r="AT553" s="83"/>
      <c r="AU553" s="83"/>
      <c r="AV553" s="83"/>
      <c r="AW553" s="83"/>
      <c r="AX553" s="83"/>
      <c r="AY553" s="83"/>
      <c r="AZ553" s="83"/>
      <c r="BA553" s="83"/>
      <c r="BB553" s="83"/>
      <c r="BC553" s="83"/>
      <c r="BD553" s="83"/>
      <c r="BE553" s="83"/>
      <c r="BF553" s="83"/>
      <c r="BG553" s="83"/>
      <c r="BH553" s="83"/>
      <c r="BI553" s="83"/>
      <c r="BJ553" s="83"/>
      <c r="BK553" s="83"/>
      <c r="BL553" s="83"/>
      <c r="BM553" s="83"/>
      <c r="BN553" s="83"/>
      <c r="BO553" s="83"/>
      <c r="BP553" s="83"/>
      <c r="BQ553" s="83"/>
      <c r="BR553" s="83"/>
      <c r="BS553" s="83"/>
      <c r="BT553" s="83"/>
      <c r="BU553" s="83"/>
    </row>
    <row r="554" spans="15:73"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  <c r="AA554" s="83"/>
      <c r="AB554" s="83"/>
      <c r="AC554" s="83"/>
      <c r="AD554" s="83"/>
      <c r="AE554" s="83"/>
      <c r="AF554" s="83"/>
      <c r="AG554" s="83"/>
      <c r="AH554" s="83"/>
      <c r="AI554" s="83"/>
      <c r="AJ554" s="83"/>
      <c r="AK554" s="83"/>
      <c r="AL554" s="83"/>
      <c r="AM554" s="83"/>
      <c r="AN554" s="83"/>
      <c r="AO554" s="83"/>
      <c r="AP554" s="83"/>
      <c r="AQ554" s="83"/>
      <c r="AR554" s="83"/>
      <c r="AS554" s="83"/>
      <c r="AT554" s="83"/>
      <c r="AU554" s="83"/>
      <c r="AV554" s="83"/>
      <c r="AW554" s="83"/>
      <c r="AX554" s="83"/>
      <c r="AY554" s="83"/>
      <c r="AZ554" s="83"/>
      <c r="BA554" s="83"/>
      <c r="BB554" s="83"/>
      <c r="BC554" s="83"/>
      <c r="BD554" s="83"/>
      <c r="BE554" s="83"/>
      <c r="BF554" s="83"/>
      <c r="BG554" s="83"/>
      <c r="BH554" s="83"/>
      <c r="BI554" s="83"/>
      <c r="BJ554" s="83"/>
      <c r="BK554" s="83"/>
      <c r="BL554" s="83"/>
      <c r="BM554" s="83"/>
      <c r="BN554" s="83"/>
      <c r="BO554" s="83"/>
      <c r="BP554" s="83"/>
      <c r="BQ554" s="83"/>
      <c r="BR554" s="83"/>
      <c r="BS554" s="83"/>
      <c r="BT554" s="83"/>
      <c r="BU554" s="83"/>
    </row>
    <row r="555" spans="15:73"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  <c r="AA555" s="83"/>
      <c r="AB555" s="83"/>
      <c r="AC555" s="83"/>
      <c r="AD555" s="83"/>
      <c r="AE555" s="83"/>
      <c r="AF555" s="83"/>
      <c r="AG555" s="83"/>
      <c r="AH555" s="83"/>
      <c r="AI555" s="83"/>
      <c r="AJ555" s="83"/>
      <c r="AK555" s="83"/>
      <c r="AL555" s="83"/>
      <c r="AM555" s="83"/>
      <c r="AN555" s="83"/>
      <c r="AO555" s="83"/>
      <c r="AP555" s="83"/>
      <c r="AQ555" s="83"/>
      <c r="AR555" s="83"/>
      <c r="AS555" s="83"/>
      <c r="AT555" s="83"/>
      <c r="AU555" s="83"/>
      <c r="AV555" s="83"/>
      <c r="AW555" s="83"/>
      <c r="AX555" s="83"/>
      <c r="AY555" s="83"/>
      <c r="AZ555" s="83"/>
      <c r="BA555" s="83"/>
      <c r="BB555" s="83"/>
      <c r="BC555" s="83"/>
      <c r="BD555" s="83"/>
      <c r="BE555" s="83"/>
      <c r="BF555" s="83"/>
      <c r="BG555" s="83"/>
      <c r="BH555" s="83"/>
      <c r="BI555" s="83"/>
      <c r="BJ555" s="83"/>
      <c r="BK555" s="83"/>
      <c r="BL555" s="83"/>
      <c r="BM555" s="83"/>
      <c r="BN555" s="83"/>
      <c r="BO555" s="83"/>
      <c r="BP555" s="83"/>
      <c r="BQ555" s="83"/>
      <c r="BR555" s="83"/>
      <c r="BS555" s="83"/>
      <c r="BT555" s="83"/>
      <c r="BU555" s="83"/>
    </row>
    <row r="556" spans="15:73"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  <c r="AA556" s="83"/>
      <c r="AB556" s="83"/>
      <c r="AC556" s="83"/>
      <c r="AD556" s="83"/>
      <c r="AE556" s="83"/>
      <c r="AF556" s="83"/>
      <c r="AG556" s="83"/>
      <c r="AH556" s="83"/>
      <c r="AI556" s="83"/>
      <c r="AJ556" s="83"/>
      <c r="AK556" s="83"/>
      <c r="AL556" s="83"/>
      <c r="AM556" s="83"/>
      <c r="AN556" s="83"/>
      <c r="AO556" s="83"/>
      <c r="AP556" s="83"/>
      <c r="AQ556" s="83"/>
      <c r="AR556" s="83"/>
      <c r="AS556" s="83"/>
      <c r="AT556" s="83"/>
      <c r="AU556" s="83"/>
      <c r="AV556" s="83"/>
      <c r="AW556" s="83"/>
      <c r="AX556" s="83"/>
      <c r="AY556" s="83"/>
      <c r="AZ556" s="83"/>
      <c r="BA556" s="83"/>
      <c r="BB556" s="83"/>
      <c r="BC556" s="83"/>
      <c r="BD556" s="83"/>
      <c r="BE556" s="83"/>
      <c r="BF556" s="83"/>
      <c r="BG556" s="83"/>
      <c r="BH556" s="83"/>
      <c r="BI556" s="83"/>
      <c r="BJ556" s="83"/>
      <c r="BK556" s="83"/>
      <c r="BL556" s="83"/>
      <c r="BM556" s="83"/>
      <c r="BN556" s="83"/>
      <c r="BO556" s="83"/>
      <c r="BP556" s="83"/>
      <c r="BQ556" s="83"/>
      <c r="BR556" s="83"/>
      <c r="BS556" s="83"/>
      <c r="BT556" s="83"/>
      <c r="BU556" s="83"/>
    </row>
    <row r="557" spans="15:73"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  <c r="AA557" s="83"/>
      <c r="AB557" s="83"/>
      <c r="AC557" s="83"/>
      <c r="AD557" s="83"/>
      <c r="AE557" s="83"/>
      <c r="AF557" s="83"/>
      <c r="AG557" s="83"/>
      <c r="AH557" s="83"/>
      <c r="AI557" s="83"/>
      <c r="AJ557" s="83"/>
      <c r="AK557" s="83"/>
      <c r="AL557" s="83"/>
      <c r="AM557" s="83"/>
      <c r="AN557" s="83"/>
      <c r="AO557" s="83"/>
      <c r="AP557" s="83"/>
      <c r="AQ557" s="83"/>
      <c r="AR557" s="83"/>
      <c r="AS557" s="83"/>
      <c r="AT557" s="83"/>
      <c r="AU557" s="83"/>
      <c r="AV557" s="83"/>
      <c r="AW557" s="83"/>
      <c r="AX557" s="83"/>
      <c r="AY557" s="83"/>
      <c r="AZ557" s="83"/>
      <c r="BA557" s="83"/>
      <c r="BB557" s="83"/>
      <c r="BC557" s="83"/>
      <c r="BD557" s="83"/>
      <c r="BE557" s="83"/>
      <c r="BF557" s="83"/>
      <c r="BG557" s="83"/>
      <c r="BH557" s="83"/>
      <c r="BI557" s="83"/>
      <c r="BJ557" s="83"/>
      <c r="BK557" s="83"/>
      <c r="BL557" s="83"/>
      <c r="BM557" s="83"/>
      <c r="BN557" s="83"/>
      <c r="BO557" s="83"/>
      <c r="BP557" s="83"/>
      <c r="BQ557" s="83"/>
      <c r="BR557" s="83"/>
      <c r="BS557" s="83"/>
      <c r="BT557" s="83"/>
      <c r="BU557" s="83"/>
    </row>
    <row r="558" spans="15:73"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  <c r="AA558" s="83"/>
      <c r="AB558" s="83"/>
      <c r="AC558" s="83"/>
      <c r="AD558" s="83"/>
      <c r="AE558" s="83"/>
      <c r="AF558" s="83"/>
      <c r="AG558" s="83"/>
      <c r="AH558" s="83"/>
      <c r="AI558" s="83"/>
      <c r="AJ558" s="83"/>
      <c r="AK558" s="83"/>
      <c r="AL558" s="83"/>
      <c r="AM558" s="83"/>
      <c r="AN558" s="83"/>
      <c r="AO558" s="83"/>
      <c r="AP558" s="83"/>
      <c r="AQ558" s="83"/>
      <c r="AR558" s="83"/>
      <c r="AS558" s="83"/>
      <c r="AT558" s="83"/>
      <c r="AU558" s="83"/>
      <c r="AV558" s="83"/>
      <c r="AW558" s="83"/>
      <c r="AX558" s="83"/>
      <c r="AY558" s="83"/>
      <c r="AZ558" s="83"/>
      <c r="BA558" s="83"/>
      <c r="BB558" s="83"/>
      <c r="BC558" s="83"/>
      <c r="BD558" s="83"/>
      <c r="BE558" s="83"/>
      <c r="BF558" s="83"/>
      <c r="BG558" s="83"/>
      <c r="BH558" s="83"/>
      <c r="BI558" s="83"/>
      <c r="BJ558" s="83"/>
      <c r="BK558" s="83"/>
      <c r="BL558" s="83"/>
      <c r="BM558" s="83"/>
      <c r="BN558" s="83"/>
      <c r="BO558" s="83"/>
      <c r="BP558" s="83"/>
      <c r="BQ558" s="83"/>
      <c r="BR558" s="83"/>
      <c r="BS558" s="83"/>
      <c r="BT558" s="83"/>
      <c r="BU558" s="83"/>
    </row>
    <row r="559" spans="15:73"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  <c r="AA559" s="83"/>
      <c r="AB559" s="83"/>
      <c r="AC559" s="83"/>
      <c r="AD559" s="83"/>
      <c r="AE559" s="83"/>
      <c r="AF559" s="83"/>
      <c r="AG559" s="83"/>
      <c r="AH559" s="83"/>
      <c r="AI559" s="83"/>
      <c r="AJ559" s="83"/>
      <c r="AK559" s="83"/>
      <c r="AL559" s="83"/>
      <c r="AM559" s="83"/>
      <c r="AN559" s="83"/>
      <c r="AO559" s="83"/>
      <c r="AP559" s="83"/>
      <c r="AQ559" s="83"/>
      <c r="AR559" s="83"/>
      <c r="AS559" s="83"/>
      <c r="AT559" s="83"/>
      <c r="AU559" s="83"/>
      <c r="AV559" s="83"/>
      <c r="AW559" s="83"/>
      <c r="AX559" s="83"/>
      <c r="AY559" s="83"/>
      <c r="AZ559" s="83"/>
      <c r="BA559" s="83"/>
      <c r="BB559" s="83"/>
      <c r="BC559" s="83"/>
      <c r="BD559" s="83"/>
      <c r="BE559" s="83"/>
      <c r="BF559" s="83"/>
      <c r="BG559" s="83"/>
      <c r="BH559" s="83"/>
      <c r="BI559" s="83"/>
      <c r="BJ559" s="83"/>
      <c r="BK559" s="83"/>
      <c r="BL559" s="83"/>
      <c r="BM559" s="83"/>
      <c r="BN559" s="83"/>
      <c r="BO559" s="83"/>
      <c r="BP559" s="83"/>
      <c r="BQ559" s="83"/>
      <c r="BR559" s="83"/>
      <c r="BS559" s="83"/>
      <c r="BT559" s="83"/>
      <c r="BU559" s="83"/>
    </row>
    <row r="560" spans="15:73"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  <c r="AA560" s="83"/>
      <c r="AB560" s="83"/>
      <c r="AC560" s="83"/>
      <c r="AD560" s="83"/>
      <c r="AE560" s="83"/>
      <c r="AF560" s="83"/>
      <c r="AG560" s="83"/>
      <c r="AH560" s="83"/>
      <c r="AI560" s="83"/>
      <c r="AJ560" s="83"/>
      <c r="AK560" s="83"/>
      <c r="AL560" s="83"/>
      <c r="AM560" s="83"/>
      <c r="AN560" s="83"/>
      <c r="AO560" s="83"/>
      <c r="AP560" s="83"/>
      <c r="AQ560" s="83"/>
      <c r="AR560" s="83"/>
      <c r="AS560" s="83"/>
      <c r="AT560" s="83"/>
      <c r="AU560" s="83"/>
      <c r="AV560" s="83"/>
      <c r="AW560" s="83"/>
      <c r="AX560" s="83"/>
      <c r="AY560" s="83"/>
      <c r="AZ560" s="83"/>
      <c r="BA560" s="83"/>
      <c r="BB560" s="83"/>
      <c r="BC560" s="83"/>
      <c r="BD560" s="83"/>
      <c r="BE560" s="83"/>
      <c r="BF560" s="83"/>
      <c r="BG560" s="83"/>
      <c r="BH560" s="83"/>
      <c r="BI560" s="83"/>
      <c r="BJ560" s="83"/>
      <c r="BK560" s="83"/>
      <c r="BL560" s="83"/>
      <c r="BM560" s="83"/>
      <c r="BN560" s="83"/>
      <c r="BO560" s="83"/>
      <c r="BP560" s="83"/>
      <c r="BQ560" s="83"/>
      <c r="BR560" s="83"/>
      <c r="BS560" s="83"/>
      <c r="BT560" s="83"/>
      <c r="BU560" s="83"/>
    </row>
    <row r="561" spans="15:73"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  <c r="AA561" s="83"/>
      <c r="AB561" s="83"/>
      <c r="AC561" s="83"/>
      <c r="AD561" s="83"/>
      <c r="AE561" s="83"/>
      <c r="AF561" s="83"/>
      <c r="AG561" s="83"/>
      <c r="AH561" s="83"/>
      <c r="AI561" s="83"/>
      <c r="AJ561" s="83"/>
      <c r="AK561" s="83"/>
      <c r="AL561" s="83"/>
      <c r="AM561" s="83"/>
      <c r="AN561" s="83"/>
      <c r="AO561" s="83"/>
      <c r="AP561" s="83"/>
      <c r="AQ561" s="83"/>
      <c r="AR561" s="83"/>
      <c r="AS561" s="83"/>
      <c r="AT561" s="83"/>
      <c r="AU561" s="83"/>
      <c r="AV561" s="83"/>
      <c r="AW561" s="83"/>
      <c r="AX561" s="83"/>
      <c r="AY561" s="83"/>
      <c r="AZ561" s="83"/>
      <c r="BA561" s="83"/>
      <c r="BB561" s="83"/>
      <c r="BC561" s="83"/>
      <c r="BD561" s="83"/>
      <c r="BE561" s="83"/>
      <c r="BF561" s="83"/>
      <c r="BG561" s="83"/>
      <c r="BH561" s="83"/>
      <c r="BI561" s="83"/>
      <c r="BJ561" s="83"/>
      <c r="BK561" s="83"/>
      <c r="BL561" s="83"/>
      <c r="BM561" s="83"/>
      <c r="BN561" s="83"/>
      <c r="BO561" s="83"/>
      <c r="BP561" s="83"/>
      <c r="BQ561" s="83"/>
      <c r="BR561" s="83"/>
      <c r="BS561" s="83"/>
      <c r="BT561" s="83"/>
      <c r="BU561" s="83"/>
    </row>
    <row r="562" spans="15:73"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  <c r="AA562" s="83"/>
      <c r="AB562" s="83"/>
      <c r="AC562" s="83"/>
      <c r="AD562" s="83"/>
      <c r="AE562" s="83"/>
      <c r="AF562" s="83"/>
      <c r="AG562" s="83"/>
      <c r="AH562" s="83"/>
      <c r="AI562" s="83"/>
      <c r="AJ562" s="83"/>
      <c r="AK562" s="83"/>
      <c r="AL562" s="83"/>
      <c r="AM562" s="83"/>
      <c r="AN562" s="83"/>
      <c r="AO562" s="83"/>
      <c r="AP562" s="83"/>
      <c r="AQ562" s="83"/>
      <c r="AR562" s="83"/>
      <c r="AS562" s="83"/>
      <c r="AT562" s="83"/>
      <c r="AU562" s="83"/>
      <c r="AV562" s="83"/>
      <c r="AW562" s="83"/>
      <c r="AX562" s="83"/>
      <c r="AY562" s="83"/>
      <c r="AZ562" s="83"/>
      <c r="BA562" s="83"/>
      <c r="BB562" s="83"/>
      <c r="BC562" s="83"/>
      <c r="BD562" s="83"/>
      <c r="BE562" s="83"/>
      <c r="BF562" s="83"/>
      <c r="BG562" s="83"/>
      <c r="BH562" s="83"/>
      <c r="BI562" s="83"/>
      <c r="BJ562" s="83"/>
      <c r="BK562" s="83"/>
      <c r="BL562" s="83"/>
      <c r="BM562" s="83"/>
      <c r="BN562" s="83"/>
      <c r="BO562" s="83"/>
      <c r="BP562" s="83"/>
      <c r="BQ562" s="83"/>
      <c r="BR562" s="83"/>
      <c r="BS562" s="83"/>
      <c r="BT562" s="83"/>
      <c r="BU562" s="83"/>
    </row>
  </sheetData>
  <dataConsolidate link="1"/>
  <phoneticPr fontId="50" type="noConversion"/>
  <pageMargins left="0.75" right="0.75" top="1" bottom="1" header="0.5" footer="0.5"/>
  <pageSetup scale="48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N43"/>
  <sheetViews>
    <sheetView showGridLines="0" zoomScale="70" zoomScaleNormal="70" workbookViewId="0"/>
  </sheetViews>
  <sheetFormatPr defaultColWidth="9.28515625" defaultRowHeight="12.75"/>
  <cols>
    <col min="1" max="1" width="16" customWidth="1"/>
    <col min="2" max="2" width="12.42578125" bestFit="1" customWidth="1"/>
    <col min="3" max="3" width="14.7109375" bestFit="1" customWidth="1"/>
    <col min="4" max="4" width="12" bestFit="1" customWidth="1"/>
    <col min="5" max="5" width="13.42578125" bestFit="1" customWidth="1"/>
    <col min="6" max="6" width="1.5703125" customWidth="1"/>
    <col min="7" max="7" width="14.42578125" bestFit="1" customWidth="1"/>
    <col min="8" max="8" width="15.42578125" bestFit="1" customWidth="1"/>
    <col min="9" max="9" width="13.42578125" bestFit="1" customWidth="1"/>
    <col min="10" max="10" width="10.5703125" customWidth="1"/>
    <col min="11" max="11" width="13.5703125" customWidth="1"/>
    <col min="12" max="12" width="11.5703125" bestFit="1" customWidth="1"/>
    <col min="13" max="13" width="14.7109375" customWidth="1"/>
    <col min="14" max="14" width="10.7109375" customWidth="1"/>
  </cols>
  <sheetData>
    <row r="1" spans="1:14" ht="14.25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4" ht="14.25">
      <c r="A2" s="15"/>
      <c r="B2" s="186" t="s">
        <v>59</v>
      </c>
      <c r="C2" s="186"/>
      <c r="D2" s="186"/>
      <c r="E2" s="186"/>
      <c r="F2" s="15"/>
      <c r="G2" s="186" t="s">
        <v>60</v>
      </c>
      <c r="H2" s="186"/>
      <c r="I2" s="186"/>
      <c r="J2" s="15"/>
    </row>
    <row r="3" spans="1:14" ht="14.25">
      <c r="A3" s="15" t="s">
        <v>18</v>
      </c>
      <c r="B3" s="17" t="s">
        <v>21</v>
      </c>
      <c r="C3" s="20"/>
      <c r="D3" s="20"/>
      <c r="E3" s="20"/>
      <c r="F3" s="20"/>
      <c r="G3" s="20"/>
      <c r="H3" s="20"/>
      <c r="I3" s="20"/>
      <c r="J3" s="17" t="s">
        <v>61</v>
      </c>
    </row>
    <row r="4" spans="1:14" ht="14.25">
      <c r="A4" s="21" t="s">
        <v>62</v>
      </c>
      <c r="B4" s="23" t="s">
        <v>63</v>
      </c>
      <c r="C4" s="23" t="s">
        <v>27</v>
      </c>
      <c r="D4" s="23" t="s">
        <v>28</v>
      </c>
      <c r="E4" s="25" t="s">
        <v>64</v>
      </c>
      <c r="F4" s="24"/>
      <c r="G4" s="23" t="s">
        <v>65</v>
      </c>
      <c r="H4" s="23" t="s">
        <v>66</v>
      </c>
      <c r="I4" s="23" t="s">
        <v>64</v>
      </c>
      <c r="J4" s="23" t="s">
        <v>67</v>
      </c>
    </row>
    <row r="5" spans="1:14" ht="14.25">
      <c r="A5" s="15"/>
      <c r="B5" s="187" t="s">
        <v>68</v>
      </c>
      <c r="C5" s="187"/>
      <c r="D5" s="187"/>
      <c r="E5" s="187"/>
      <c r="F5" s="187"/>
      <c r="G5" s="187"/>
      <c r="H5" s="187"/>
      <c r="I5" s="187"/>
      <c r="J5" s="187"/>
    </row>
    <row r="6" spans="1:14" ht="14.25">
      <c r="A6" s="15" t="s">
        <v>35</v>
      </c>
      <c r="B6" s="123">
        <v>310.92700000000002</v>
      </c>
      <c r="C6" s="37">
        <v>52493.097999999998</v>
      </c>
      <c r="D6" s="134">
        <f>D23</f>
        <v>634.23588423800004</v>
      </c>
      <c r="E6" s="122">
        <f>SUM(B6:D6)</f>
        <v>53438.260884238</v>
      </c>
      <c r="F6" s="37"/>
      <c r="G6" s="37">
        <f>E6-H6-J6</f>
        <v>38520.852924328996</v>
      </c>
      <c r="H6" s="126">
        <f>H23</f>
        <v>14546.516959908999</v>
      </c>
      <c r="I6" s="37">
        <f>E6-J6</f>
        <v>53067.369884237996</v>
      </c>
      <c r="J6" s="37">
        <f>J22</f>
        <v>370.89100000000002</v>
      </c>
      <c r="M6" s="97"/>
    </row>
    <row r="7" spans="1:14" ht="16.5">
      <c r="A7" s="15" t="s">
        <v>36</v>
      </c>
      <c r="B7" s="123">
        <f>J6</f>
        <v>370.89100000000002</v>
      </c>
      <c r="C7" s="37">
        <v>54179.108999999997</v>
      </c>
      <c r="D7" s="37">
        <v>650</v>
      </c>
      <c r="E7" s="122">
        <f>SUM(B7:D7)</f>
        <v>55200</v>
      </c>
      <c r="F7" s="37"/>
      <c r="G7" s="37">
        <v>38700</v>
      </c>
      <c r="H7" s="37">
        <v>16100</v>
      </c>
      <c r="I7" s="37">
        <f>SUM(G7:H7)</f>
        <v>54800</v>
      </c>
      <c r="J7" s="37">
        <f>E7-I7</f>
        <v>400</v>
      </c>
      <c r="K7" s="172"/>
      <c r="L7" s="173"/>
    </row>
    <row r="8" spans="1:14" ht="16.5">
      <c r="A8" s="15" t="s">
        <v>37</v>
      </c>
      <c r="B8" s="123">
        <f>J7</f>
        <v>400</v>
      </c>
      <c r="C8" s="37">
        <v>57075</v>
      </c>
      <c r="D8" s="37">
        <v>600</v>
      </c>
      <c r="E8" s="122">
        <f>SUM(B8:D8)</f>
        <v>58075</v>
      </c>
      <c r="F8" s="37"/>
      <c r="G8" s="37">
        <v>40125</v>
      </c>
      <c r="H8" s="37">
        <v>17500</v>
      </c>
      <c r="I8" s="37">
        <f>SUM(G8:H8)</f>
        <v>57625</v>
      </c>
      <c r="J8" s="37">
        <f>E8-I8</f>
        <v>450</v>
      </c>
      <c r="L8" s="174"/>
    </row>
    <row r="9" spans="1:14" ht="14.25">
      <c r="A9" s="15"/>
      <c r="B9" s="38"/>
      <c r="C9" s="38"/>
      <c r="D9" s="38"/>
      <c r="E9" s="38"/>
      <c r="F9" s="38"/>
      <c r="G9" s="37"/>
      <c r="H9" s="38"/>
      <c r="I9" s="38"/>
      <c r="J9" s="38"/>
    </row>
    <row r="10" spans="1:14" ht="15">
      <c r="A10" s="30" t="s">
        <v>35</v>
      </c>
      <c r="B10" s="39"/>
      <c r="C10" s="6"/>
      <c r="D10" s="6"/>
      <c r="E10" s="6"/>
      <c r="F10" s="6"/>
      <c r="G10" s="6"/>
      <c r="H10" s="6"/>
      <c r="I10" s="6"/>
      <c r="J10" s="6"/>
    </row>
    <row r="11" spans="1:14" ht="14.25">
      <c r="A11" s="15" t="s">
        <v>39</v>
      </c>
      <c r="B11" s="39">
        <f>B6</f>
        <v>310.92700000000002</v>
      </c>
      <c r="C11" s="6">
        <v>4603.3959999999997</v>
      </c>
      <c r="D11" s="6">
        <f>(52509.6*1.10231)/1000</f>
        <v>57.88185717599999</v>
      </c>
      <c r="E11" s="6">
        <f t="shared" ref="E11:E22" si="0">SUM(B11:D11)</f>
        <v>4972.2048571759997</v>
      </c>
      <c r="F11" s="6"/>
      <c r="G11" s="6">
        <f>I11-H11</f>
        <v>3639.92656076</v>
      </c>
      <c r="H11" s="6">
        <f>(865513.6*1.10231)/1000</f>
        <v>954.06429641599993</v>
      </c>
      <c r="I11" s="5">
        <f>E11-J11</f>
        <v>4593.9908571759997</v>
      </c>
      <c r="J11" s="6">
        <v>378.214</v>
      </c>
      <c r="K11" s="84"/>
      <c r="M11" s="125"/>
      <c r="N11" s="125"/>
    </row>
    <row r="12" spans="1:14" ht="14.25">
      <c r="A12" s="15" t="s">
        <v>40</v>
      </c>
      <c r="B12" s="39">
        <f t="shared" ref="B12:B17" si="1">J11</f>
        <v>378.214</v>
      </c>
      <c r="C12" s="6">
        <v>4469.9660000000003</v>
      </c>
      <c r="D12" s="6">
        <f>(53341.5*1.10231)/1000</f>
        <v>58.798868864999996</v>
      </c>
      <c r="E12" s="6">
        <f t="shared" si="0"/>
        <v>4906.9788688650005</v>
      </c>
      <c r="F12" s="6"/>
      <c r="G12" s="6">
        <f t="shared" ref="G12:G19" si="2">I12-H12</f>
        <v>3367.6497962010012</v>
      </c>
      <c r="H12" s="6">
        <f>(1079754.4*1.10231)/1000</f>
        <v>1190.2240726639998</v>
      </c>
      <c r="I12" s="5">
        <f t="shared" ref="I12:I22" si="3">E12-J12</f>
        <v>4557.873868865001</v>
      </c>
      <c r="J12" s="6">
        <v>349.10500000000002</v>
      </c>
      <c r="K12" s="84"/>
      <c r="M12" s="125"/>
      <c r="N12" s="125"/>
    </row>
    <row r="13" spans="1:14" ht="14.25">
      <c r="A13" s="15" t="s">
        <v>42</v>
      </c>
      <c r="B13" s="39">
        <f t="shared" si="1"/>
        <v>349.10500000000002</v>
      </c>
      <c r="C13" s="6">
        <v>4437.4089999999997</v>
      </c>
      <c r="D13" s="6">
        <f>(32200.7*1.10231)/1000</f>
        <v>35.495153617</v>
      </c>
      <c r="E13" s="6">
        <f t="shared" si="0"/>
        <v>4822.0091536169994</v>
      </c>
      <c r="F13" s="6"/>
      <c r="G13" s="6">
        <f t="shared" si="2"/>
        <v>3180.3555711099989</v>
      </c>
      <c r="H13" s="6">
        <f>(1075719.7*1.10231)/1000</f>
        <v>1185.7765825069998</v>
      </c>
      <c r="I13" s="5">
        <f t="shared" si="3"/>
        <v>4366.1321536169989</v>
      </c>
      <c r="J13" s="6">
        <v>455.87700000000001</v>
      </c>
      <c r="K13" s="84"/>
      <c r="M13" s="125"/>
      <c r="N13" s="125"/>
    </row>
    <row r="14" spans="1:14" ht="14.25">
      <c r="A14" s="15" t="s">
        <v>43</v>
      </c>
      <c r="B14" s="39">
        <f t="shared" si="1"/>
        <v>455.87700000000001</v>
      </c>
      <c r="C14" s="6">
        <v>4540.9090000000006</v>
      </c>
      <c r="D14" s="6">
        <f>(76327.1*1.10231)/1000</f>
        <v>84.136125600999989</v>
      </c>
      <c r="E14" s="6">
        <f t="shared" si="0"/>
        <v>5080.9221256010005</v>
      </c>
      <c r="F14" s="6"/>
      <c r="G14" s="6">
        <f t="shared" si="2"/>
        <v>3114.3403980780004</v>
      </c>
      <c r="H14" s="6">
        <f>(1382293.3*1.10231)/1000</f>
        <v>1523.7157275229999</v>
      </c>
      <c r="I14" s="5">
        <f t="shared" si="3"/>
        <v>4638.0561256010005</v>
      </c>
      <c r="J14" s="6">
        <v>442.86599999999999</v>
      </c>
      <c r="K14" s="84"/>
      <c r="M14" s="125"/>
      <c r="N14" s="125"/>
    </row>
    <row r="15" spans="1:14" ht="14.25">
      <c r="A15" s="15" t="s">
        <v>44</v>
      </c>
      <c r="B15" s="39">
        <f t="shared" si="1"/>
        <v>442.86599999999999</v>
      </c>
      <c r="C15" s="6">
        <v>4197.5839999999998</v>
      </c>
      <c r="D15" s="6">
        <f>(51242.8*1.10231)/1000</f>
        <v>56.485450868000001</v>
      </c>
      <c r="E15" s="6">
        <f t="shared" si="0"/>
        <v>4696.9354508679999</v>
      </c>
      <c r="F15" s="6"/>
      <c r="G15" s="6">
        <f t="shared" si="2"/>
        <v>3216.9337009630003</v>
      </c>
      <c r="H15" s="6">
        <f>(911125.5*1.10231)/1000</f>
        <v>1004.3427499049999</v>
      </c>
      <c r="I15" s="5">
        <f t="shared" si="3"/>
        <v>4221.2764508680002</v>
      </c>
      <c r="J15" s="6">
        <v>475.65899999999999</v>
      </c>
      <c r="K15" s="84"/>
      <c r="M15" s="125"/>
      <c r="N15" s="125"/>
    </row>
    <row r="16" spans="1:14" ht="14.25">
      <c r="A16" s="15" t="s">
        <v>46</v>
      </c>
      <c r="B16" s="39">
        <f t="shared" si="1"/>
        <v>475.65899999999999</v>
      </c>
      <c r="C16" s="6">
        <v>4698.1610000000001</v>
      </c>
      <c r="D16" s="6">
        <f>(44530*1.10231)/1000</f>
        <v>49.085864299999997</v>
      </c>
      <c r="E16" s="6">
        <f t="shared" si="0"/>
        <v>5222.9058642999998</v>
      </c>
      <c r="F16" s="6"/>
      <c r="G16" s="6">
        <f t="shared" si="2"/>
        <v>3377.8488210519999</v>
      </c>
      <c r="H16" s="6">
        <f>(1329940.8*1.10231)/1000</f>
        <v>1466.0070432479999</v>
      </c>
      <c r="I16" s="5">
        <f t="shared" si="3"/>
        <v>4843.8558642999997</v>
      </c>
      <c r="J16" s="6">
        <v>379.04999999999995</v>
      </c>
      <c r="K16" s="84"/>
      <c r="M16" s="125"/>
      <c r="N16" s="125"/>
    </row>
    <row r="17" spans="1:14" ht="14.25">
      <c r="A17" s="15" t="s">
        <v>47</v>
      </c>
      <c r="B17" s="39">
        <f t="shared" si="1"/>
        <v>379.04999999999995</v>
      </c>
      <c r="C17" s="6">
        <v>4433.6350000000002</v>
      </c>
      <c r="D17" s="6">
        <f>(26587.9*1.10231)/1000</f>
        <v>29.308108048999998</v>
      </c>
      <c r="E17" s="6">
        <f t="shared" si="0"/>
        <v>4841.9931080490005</v>
      </c>
      <c r="F17" s="6"/>
      <c r="G17" s="6">
        <f t="shared" si="2"/>
        <v>3024.9898179200009</v>
      </c>
      <c r="H17" s="6">
        <f>(1124155.9*1.10231)/1000</f>
        <v>1239.1682901289998</v>
      </c>
      <c r="I17" s="5">
        <f t="shared" si="3"/>
        <v>4264.1581080490005</v>
      </c>
      <c r="J17" s="6">
        <v>577.83499999999992</v>
      </c>
      <c r="K17" s="84"/>
      <c r="M17" s="125"/>
      <c r="N17" s="125"/>
    </row>
    <row r="18" spans="1:14" ht="14.25">
      <c r="A18" s="15" t="s">
        <v>48</v>
      </c>
      <c r="B18" s="39">
        <f>J17</f>
        <v>577.83499999999992</v>
      </c>
      <c r="C18" s="6">
        <v>4461.268</v>
      </c>
      <c r="D18" s="6">
        <f>(50142.7*1.10231)/1000</f>
        <v>55.272799636999991</v>
      </c>
      <c r="E18" s="6">
        <f t="shared" si="0"/>
        <v>5094.3757996370005</v>
      </c>
      <c r="F18" s="6"/>
      <c r="G18" s="6">
        <f t="shared" si="2"/>
        <v>3496.5640024500008</v>
      </c>
      <c r="H18" s="6">
        <f>(1060747.7*1.10231)/1000</f>
        <v>1169.2727971869999</v>
      </c>
      <c r="I18" s="5">
        <f t="shared" si="3"/>
        <v>4665.8367996370007</v>
      </c>
      <c r="J18" s="6">
        <v>428.53899999999999</v>
      </c>
      <c r="K18" s="84"/>
      <c r="M18" s="125"/>
      <c r="N18" s="125"/>
    </row>
    <row r="19" spans="1:14" ht="14.25">
      <c r="A19" s="15" t="s">
        <v>50</v>
      </c>
      <c r="B19" s="39">
        <f>J18</f>
        <v>428.53899999999999</v>
      </c>
      <c r="C19" s="6">
        <v>4152.3280000000004</v>
      </c>
      <c r="D19" s="6">
        <f>(47208.3*1.10231)/1000</f>
        <v>52.038181172999998</v>
      </c>
      <c r="E19" s="6">
        <f t="shared" si="0"/>
        <v>4632.9051811730005</v>
      </c>
      <c r="F19" s="6"/>
      <c r="G19" s="6">
        <f t="shared" si="2"/>
        <v>2902.0146138540003</v>
      </c>
      <c r="H19" s="6">
        <f>(1238604.9*1.10231)/1000</f>
        <v>1365.3265673189997</v>
      </c>
      <c r="I19" s="5">
        <f>E19-J19</f>
        <v>4267.3411811730002</v>
      </c>
      <c r="J19" s="6">
        <v>365.56400000000002</v>
      </c>
      <c r="K19" s="84"/>
      <c r="M19" s="125"/>
      <c r="N19" s="125"/>
    </row>
    <row r="20" spans="1:14" ht="14.25">
      <c r="A20" s="15" t="s">
        <v>51</v>
      </c>
      <c r="B20" s="39">
        <f>J19</f>
        <v>365.56400000000002</v>
      </c>
      <c r="C20" s="6">
        <v>4362.93</v>
      </c>
      <c r="D20" s="6">
        <f>(44970.6*1.10231)/1000</f>
        <v>49.571542085999994</v>
      </c>
      <c r="E20" s="6">
        <f t="shared" si="0"/>
        <v>4778.0655420860003</v>
      </c>
      <c r="F20" s="6"/>
      <c r="G20" s="6">
        <f>I20-H20</f>
        <v>3145.9025870680007</v>
      </c>
      <c r="H20" s="6">
        <f>(1054707.8*1.10231)/1000</f>
        <v>1162.614955018</v>
      </c>
      <c r="I20" s="5">
        <f t="shared" si="3"/>
        <v>4308.5175420860005</v>
      </c>
      <c r="J20" s="6">
        <v>469.548</v>
      </c>
      <c r="K20" s="84"/>
      <c r="M20" s="125"/>
      <c r="N20" s="125"/>
    </row>
    <row r="21" spans="1:14" ht="14.25">
      <c r="A21" s="15" t="s">
        <v>52</v>
      </c>
      <c r="B21" s="39">
        <f>J20</f>
        <v>469.548</v>
      </c>
      <c r="C21" s="6">
        <v>4029.8919999999998</v>
      </c>
      <c r="D21" s="6">
        <f>(49389.3*1.10231)/1000</f>
        <v>54.442319282999996</v>
      </c>
      <c r="E21" s="6">
        <f t="shared" si="0"/>
        <v>4553.8823192829996</v>
      </c>
      <c r="F21" s="6"/>
      <c r="G21" s="6">
        <f t="shared" ref="G21:G22" si="4">I21-H21</f>
        <v>3031.4960194669993</v>
      </c>
      <c r="H21" s="6">
        <f>(1093653.6*1.10231)/1000</f>
        <v>1205.5452998160001</v>
      </c>
      <c r="I21" s="5">
        <f t="shared" si="3"/>
        <v>4237.0413192829992</v>
      </c>
      <c r="J21" s="6">
        <v>316.84100000000001</v>
      </c>
      <c r="K21" s="84"/>
      <c r="M21" s="125"/>
      <c r="N21" s="125"/>
    </row>
    <row r="22" spans="1:14" ht="14.25">
      <c r="A22" s="15" t="s">
        <v>38</v>
      </c>
      <c r="B22" s="39">
        <f>J21</f>
        <v>316.84100000000001</v>
      </c>
      <c r="C22" s="6">
        <v>4105.62</v>
      </c>
      <c r="D22" s="6">
        <f>(46919.3*1.10231)/1000</f>
        <v>51.719613582999997</v>
      </c>
      <c r="E22" s="6">
        <f t="shared" si="0"/>
        <v>4474.1806135830002</v>
      </c>
      <c r="F22" s="6"/>
      <c r="G22" s="6">
        <f t="shared" si="4"/>
        <v>3022.8310354060004</v>
      </c>
      <c r="H22" s="6">
        <f>(980176.7*1.10231)/1000</f>
        <v>1080.4585781769999</v>
      </c>
      <c r="I22" s="5">
        <f t="shared" si="3"/>
        <v>4103.2896135830006</v>
      </c>
      <c r="J22" s="6">
        <v>370.89100000000002</v>
      </c>
      <c r="K22" s="87"/>
      <c r="M22" s="125"/>
      <c r="N22" s="125"/>
    </row>
    <row r="23" spans="1:14" ht="14.25">
      <c r="A23" s="15" t="s">
        <v>29</v>
      </c>
      <c r="B23" s="39"/>
      <c r="C23" s="6">
        <f>SUM(C11:C22)</f>
        <v>52493.097999999998</v>
      </c>
      <c r="D23" s="6">
        <f>(575369.8*1.10231)/1000</f>
        <v>634.23588423800004</v>
      </c>
      <c r="E23" s="6">
        <f>B11+C23+D23</f>
        <v>53438.260884238</v>
      </c>
      <c r="F23" s="6"/>
      <c r="G23" s="6">
        <f>SUM(G11:G22)</f>
        <v>38520.85292432901</v>
      </c>
      <c r="H23" s="122">
        <f>(13196393.9*1.10231)/1000</f>
        <v>14546.516959908999</v>
      </c>
      <c r="I23" s="5">
        <f>SUM(I11:I22)</f>
        <v>53067.369884238004</v>
      </c>
      <c r="J23" s="6"/>
      <c r="K23" s="124"/>
      <c r="M23" s="125"/>
      <c r="N23" s="34"/>
    </row>
    <row r="24" spans="1:14" ht="14.25">
      <c r="A24" s="15"/>
      <c r="B24" s="39"/>
      <c r="C24" s="6"/>
      <c r="D24" s="6"/>
      <c r="E24" s="6"/>
      <c r="F24" s="6"/>
      <c r="G24" s="6"/>
      <c r="H24" s="6"/>
      <c r="I24" s="6"/>
      <c r="J24" s="6"/>
      <c r="K24" s="84"/>
      <c r="N24" s="34"/>
    </row>
    <row r="25" spans="1:14" ht="15">
      <c r="A25" s="30" t="s">
        <v>54</v>
      </c>
      <c r="B25" s="39"/>
      <c r="C25" s="6"/>
      <c r="D25" s="6"/>
      <c r="E25" s="6"/>
      <c r="F25" s="6"/>
      <c r="G25" s="6"/>
      <c r="H25" s="6"/>
      <c r="I25" s="6"/>
      <c r="J25" s="6"/>
      <c r="K25" s="84"/>
      <c r="N25" s="34"/>
    </row>
    <row r="26" spans="1:14" ht="14.25">
      <c r="A26" s="15" t="s">
        <v>39</v>
      </c>
      <c r="B26" s="106">
        <f>J22</f>
        <v>370.89100000000002</v>
      </c>
      <c r="C26" s="107">
        <v>4738.4830000000002</v>
      </c>
      <c r="D26" s="6">
        <f>(43352.2*1.10231)/1000</f>
        <v>47.787563581999997</v>
      </c>
      <c r="E26" s="6">
        <f t="shared" ref="E26:E31" si="5">SUM(B26:D26)</f>
        <v>5157.1615635819999</v>
      </c>
      <c r="F26" s="6"/>
      <c r="G26" s="6">
        <f t="shared" ref="G26:G31" si="6">I26-H26</f>
        <v>3602.9976581149999</v>
      </c>
      <c r="H26" s="6">
        <f>(1106335.7*1.10231)/1000</f>
        <v>1219.5249054669998</v>
      </c>
      <c r="I26" s="100">
        <f t="shared" ref="I26:I31" si="7">E26-J26</f>
        <v>4822.5225635819997</v>
      </c>
      <c r="J26" s="107">
        <v>334.63900000000001</v>
      </c>
      <c r="K26" s="84"/>
      <c r="N26" s="34"/>
    </row>
    <row r="27" spans="1:14" ht="14.25">
      <c r="A27" s="15" t="s">
        <v>40</v>
      </c>
      <c r="B27" s="39">
        <f t="shared" ref="B27:B33" si="8">J26</f>
        <v>334.63900000000001</v>
      </c>
      <c r="C27" s="6">
        <v>4706.2079999999996</v>
      </c>
      <c r="D27" s="6">
        <f>(48390.3*1.10231)/1000</f>
        <v>53.341111593000001</v>
      </c>
      <c r="E27" s="6">
        <f t="shared" si="5"/>
        <v>5094.188111593</v>
      </c>
      <c r="F27" s="6"/>
      <c r="G27" s="6">
        <f t="shared" si="6"/>
        <v>3280.6629275390005</v>
      </c>
      <c r="H27" s="6">
        <f>(1369023.4*1.10231)/1000</f>
        <v>1509.0881840539998</v>
      </c>
      <c r="I27" s="6">
        <f t="shared" si="7"/>
        <v>4789.7511115930001</v>
      </c>
      <c r="J27" s="6">
        <v>304.43700000000001</v>
      </c>
      <c r="K27" s="84"/>
      <c r="N27" s="34"/>
    </row>
    <row r="28" spans="1:14" ht="14.25">
      <c r="A28" s="15" t="s">
        <v>42</v>
      </c>
      <c r="B28" s="39">
        <f t="shared" si="8"/>
        <v>304.43700000000001</v>
      </c>
      <c r="C28" s="6">
        <v>4818.3419999999996</v>
      </c>
      <c r="D28" s="104">
        <f>(53099.9*1.10231)/1000</f>
        <v>58.532550768999997</v>
      </c>
      <c r="E28" s="104">
        <f t="shared" si="5"/>
        <v>5181.311550769</v>
      </c>
      <c r="F28" s="104"/>
      <c r="G28" s="104">
        <f t="shared" si="6"/>
        <v>3073.843674963</v>
      </c>
      <c r="H28" s="104">
        <f>(1457582.6*1.10231)/1000</f>
        <v>1606.7078758059999</v>
      </c>
      <c r="I28" s="104">
        <f t="shared" si="7"/>
        <v>4680.5515507689997</v>
      </c>
      <c r="J28" s="6">
        <v>500.76</v>
      </c>
      <c r="K28" s="84"/>
      <c r="L28" s="34"/>
      <c r="N28" s="34"/>
    </row>
    <row r="29" spans="1:14" ht="14.25">
      <c r="A29" s="15" t="s">
        <v>43</v>
      </c>
      <c r="B29" s="39">
        <f t="shared" si="8"/>
        <v>500.76</v>
      </c>
      <c r="C29" s="6">
        <v>4595.6220000000003</v>
      </c>
      <c r="D29" s="104">
        <f>(53674.5*1.10231)/1000</f>
        <v>59.165938094999994</v>
      </c>
      <c r="E29" s="104">
        <f t="shared" si="5"/>
        <v>5155.5479380950001</v>
      </c>
      <c r="F29" s="104"/>
      <c r="G29" s="104">
        <f t="shared" si="6"/>
        <v>3288.6776487350007</v>
      </c>
      <c r="H29" s="104">
        <f>(1376056*1.10231)/1000</f>
        <v>1516.8402893599998</v>
      </c>
      <c r="I29" s="104">
        <f t="shared" si="7"/>
        <v>4805.5179380950003</v>
      </c>
      <c r="J29" s="6">
        <v>350.03</v>
      </c>
      <c r="K29" s="84"/>
      <c r="L29" s="34"/>
      <c r="M29" s="93"/>
    </row>
    <row r="30" spans="1:14" ht="14.25">
      <c r="A30" s="15" t="s">
        <v>44</v>
      </c>
      <c r="B30" s="39">
        <f t="shared" si="8"/>
        <v>350.03</v>
      </c>
      <c r="C30" s="6">
        <v>4557.0920000000006</v>
      </c>
      <c r="D30" s="104">
        <f>(57158.1*1.10231)/1000</f>
        <v>63.00594521099999</v>
      </c>
      <c r="E30" s="104">
        <f t="shared" si="5"/>
        <v>4970.1279452110002</v>
      </c>
      <c r="F30" s="104"/>
      <c r="G30" s="104">
        <f t="shared" si="6"/>
        <v>3138.4475940110005</v>
      </c>
      <c r="H30" s="104">
        <f>(1365520*1.10231)/1000</f>
        <v>1505.2263512</v>
      </c>
      <c r="I30" s="104">
        <f t="shared" si="7"/>
        <v>4643.6739452110005</v>
      </c>
      <c r="J30" s="6">
        <v>326.45400000000001</v>
      </c>
      <c r="K30" s="84"/>
      <c r="L30" s="34"/>
      <c r="M30" s="115"/>
    </row>
    <row r="31" spans="1:14" ht="14.25">
      <c r="A31" s="15" t="s">
        <v>46</v>
      </c>
      <c r="B31" s="39">
        <f t="shared" si="8"/>
        <v>326.45400000000001</v>
      </c>
      <c r="C31" s="6">
        <v>4797.4049999999997</v>
      </c>
      <c r="D31" s="104">
        <f>(52412.6*1.10231)/1000</f>
        <v>57.774933105999999</v>
      </c>
      <c r="E31" s="104">
        <f t="shared" si="5"/>
        <v>5181.6339331059999</v>
      </c>
      <c r="F31" s="104"/>
      <c r="G31" s="104">
        <f t="shared" si="6"/>
        <v>2969.6471064249995</v>
      </c>
      <c r="H31" s="104">
        <f>(1498795.1*1.10231)/1000</f>
        <v>1652.136826681</v>
      </c>
      <c r="I31" s="104">
        <f t="shared" si="7"/>
        <v>4621.7839331059995</v>
      </c>
      <c r="J31" s="6">
        <v>559.85</v>
      </c>
      <c r="K31" s="84"/>
      <c r="L31" s="34"/>
      <c r="M31" s="115"/>
    </row>
    <row r="32" spans="1:14" ht="14.25">
      <c r="A32" s="15" t="s">
        <v>47</v>
      </c>
      <c r="B32" s="39">
        <f t="shared" si="8"/>
        <v>559.85</v>
      </c>
      <c r="C32" s="6">
        <v>4205.6130000000003</v>
      </c>
      <c r="D32" s="104">
        <f>(45671.7*1.10231)/1000</f>
        <v>50.344371626999994</v>
      </c>
      <c r="E32" s="104">
        <f t="shared" ref="E32:E34" si="9">SUM(B32:D32)</f>
        <v>4815.807371627001</v>
      </c>
      <c r="F32" s="104"/>
      <c r="G32" s="104">
        <f t="shared" ref="G32:G34" si="10">I32-H32</f>
        <v>3094.5719551340007</v>
      </c>
      <c r="H32" s="104">
        <f>(1257180.3*1.10231)/1000</f>
        <v>1385.802416493</v>
      </c>
      <c r="I32" s="104">
        <f t="shared" ref="I32:I34" si="11">E32-J32</f>
        <v>4480.374371627001</v>
      </c>
      <c r="J32" s="6">
        <v>335.43299999999999</v>
      </c>
      <c r="K32" s="84"/>
      <c r="L32" s="34"/>
      <c r="M32" s="115"/>
    </row>
    <row r="33" spans="1:13" ht="14.25">
      <c r="A33" s="15" t="s">
        <v>48</v>
      </c>
      <c r="B33" s="39">
        <f t="shared" si="8"/>
        <v>335.43299999999999</v>
      </c>
      <c r="C33" s="6">
        <v>4511.01</v>
      </c>
      <c r="D33" s="104">
        <f>(61818.5*1.10231)/1000</f>
        <v>68.143150734999992</v>
      </c>
      <c r="E33" s="104">
        <f t="shared" si="9"/>
        <v>4914.586150735</v>
      </c>
      <c r="F33" s="104"/>
      <c r="G33" s="104">
        <f t="shared" si="10"/>
        <v>3448.3553320180008</v>
      </c>
      <c r="H33" s="104">
        <f>(1010410.7*1.10231)/1000</f>
        <v>1113.7858187169998</v>
      </c>
      <c r="I33" s="104">
        <f t="shared" si="11"/>
        <v>4562.1411507350003</v>
      </c>
      <c r="J33" s="6">
        <v>352.44499999999999</v>
      </c>
      <c r="K33" s="84"/>
      <c r="L33" s="34"/>
      <c r="M33" s="115"/>
    </row>
    <row r="34" spans="1:13" ht="14.25">
      <c r="A34" s="15" t="s">
        <v>50</v>
      </c>
      <c r="B34" s="39">
        <f>J33</f>
        <v>352.44499999999999</v>
      </c>
      <c r="C34" s="6">
        <v>4335.0060000000003</v>
      </c>
      <c r="D34" s="104">
        <f>(44979.4*1.10231)/1000</f>
        <v>49.581242414000002</v>
      </c>
      <c r="E34" s="104">
        <f t="shared" si="9"/>
        <v>4737.0322424140004</v>
      </c>
      <c r="F34" s="104"/>
      <c r="G34" s="104">
        <f t="shared" si="10"/>
        <v>3010.5296164590004</v>
      </c>
      <c r="H34" s="104">
        <f>(1119080.5*1.10231)/1000</f>
        <v>1233.5736259549999</v>
      </c>
      <c r="I34" s="104">
        <f t="shared" si="11"/>
        <v>4244.1032424140003</v>
      </c>
      <c r="J34" s="6">
        <v>492.92899999999997</v>
      </c>
      <c r="K34" s="84"/>
      <c r="L34" s="34"/>
      <c r="M34" s="115"/>
    </row>
    <row r="35" spans="1:13" ht="14.25">
      <c r="A35" s="15" t="s">
        <v>51</v>
      </c>
      <c r="B35" s="39">
        <f>J34</f>
        <v>492.92899999999997</v>
      </c>
      <c r="C35" s="6">
        <v>4548.6549999999997</v>
      </c>
      <c r="D35" s="104">
        <f>(38648.7*1.10231)/1000</f>
        <v>42.602848496999989</v>
      </c>
      <c r="E35" s="104">
        <f t="shared" ref="E35:E36" si="12">SUM(B35:D35)</f>
        <v>5084.186848497</v>
      </c>
      <c r="F35" s="104"/>
      <c r="G35" s="104">
        <f t="shared" ref="G35" si="13">I35-H35</f>
        <v>3531.9827891890004</v>
      </c>
      <c r="H35" s="104">
        <f>(1017566.8*1.10231)/1000</f>
        <v>1121.6740593079999</v>
      </c>
      <c r="I35" s="104">
        <f t="shared" ref="I35" si="14">E35-J35</f>
        <v>4653.6568484970003</v>
      </c>
      <c r="J35" s="6">
        <v>430.53</v>
      </c>
      <c r="K35" s="84"/>
      <c r="L35" s="34"/>
      <c r="M35" s="115"/>
    </row>
    <row r="36" spans="1:13" ht="14.25">
      <c r="A36" s="15" t="s">
        <v>52</v>
      </c>
      <c r="B36" s="39">
        <f>J35</f>
        <v>430.53</v>
      </c>
      <c r="C36" s="6">
        <v>3963.0810000000001</v>
      </c>
      <c r="D36" s="104">
        <f>(54003.3*1.10231)/1000</f>
        <v>59.528377622999997</v>
      </c>
      <c r="E36" s="104">
        <f t="shared" si="12"/>
        <v>4453.1393776229997</v>
      </c>
      <c r="F36" s="104"/>
      <c r="G36" s="104">
        <f>I36-H36</f>
        <v>3097.4258477249996</v>
      </c>
      <c r="H36" s="104">
        <f>(909155.8*1.10231)/1000</f>
        <v>1002.1715298979999</v>
      </c>
      <c r="I36" s="104">
        <f>E36-J36</f>
        <v>4099.5973776229994</v>
      </c>
      <c r="J36" s="6">
        <v>353.54199999999997</v>
      </c>
      <c r="K36" s="84"/>
      <c r="L36" s="34"/>
      <c r="M36" s="115"/>
    </row>
    <row r="37" spans="1:13" ht="16.5">
      <c r="A37" s="79" t="s">
        <v>69</v>
      </c>
      <c r="B37" s="69"/>
      <c r="C37" s="69"/>
      <c r="D37" s="69"/>
      <c r="E37" s="69"/>
      <c r="F37" s="69"/>
      <c r="G37" s="69"/>
      <c r="H37" s="69"/>
      <c r="I37" s="69"/>
      <c r="J37" s="69"/>
    </row>
    <row r="38" spans="1:13" ht="14.25">
      <c r="A38" s="15" t="s">
        <v>70</v>
      </c>
      <c r="B38" s="15"/>
      <c r="C38" s="15"/>
      <c r="D38" s="15"/>
      <c r="E38" s="15"/>
      <c r="F38" s="15"/>
      <c r="G38" s="15"/>
      <c r="H38" s="15"/>
      <c r="I38" s="15"/>
      <c r="J38" s="15"/>
    </row>
    <row r="39" spans="1:13" ht="14.25">
      <c r="A39" s="20" t="s">
        <v>58</v>
      </c>
      <c r="B39" s="36">
        <f>Contents!A18</f>
        <v>45581</v>
      </c>
      <c r="C39" s="33"/>
      <c r="D39" s="28"/>
      <c r="E39" s="28"/>
      <c r="F39" s="28"/>
      <c r="G39" s="28"/>
      <c r="H39" s="28"/>
      <c r="I39" s="28"/>
      <c r="J39" s="28"/>
    </row>
    <row r="40" spans="1:13">
      <c r="B40" s="41"/>
      <c r="C40" s="42"/>
      <c r="D40" s="41"/>
      <c r="E40" s="81"/>
      <c r="F40" s="41"/>
      <c r="G40" s="41"/>
      <c r="H40" s="43"/>
      <c r="I40" s="81"/>
      <c r="J40" s="41"/>
    </row>
    <row r="41" spans="1:13">
      <c r="B41" s="41"/>
      <c r="C41" s="41"/>
      <c r="D41" s="41"/>
      <c r="E41" s="41"/>
      <c r="F41" s="41"/>
      <c r="G41" s="41"/>
      <c r="H41" s="41"/>
      <c r="I41" s="41"/>
      <c r="J41" s="41"/>
    </row>
    <row r="42" spans="1:13">
      <c r="G42" s="34"/>
    </row>
    <row r="43" spans="1:13">
      <c r="G43" s="91"/>
    </row>
  </sheetData>
  <mergeCells count="3">
    <mergeCell ref="G2:I2"/>
    <mergeCell ref="B5:J5"/>
    <mergeCell ref="B2:E2"/>
  </mergeCells>
  <phoneticPr fontId="50" type="noConversion"/>
  <pageMargins left="0.75" right="0.75" top="1" bottom="1" header="0.5" footer="0.5"/>
  <pageSetup scale="74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41"/>
  <sheetViews>
    <sheetView showGridLines="0" zoomScale="70" zoomScaleNormal="70" workbookViewId="0">
      <pane xSplit="1" ySplit="1" topLeftCell="B2" activePane="bottomRight" state="frozen"/>
      <selection pane="bottomRight"/>
      <selection pane="bottomLeft" activeCell="B1" sqref="B1"/>
      <selection pane="topRight" activeCell="B1" sqref="B1"/>
    </sheetView>
  </sheetViews>
  <sheetFormatPr defaultColWidth="9.28515625" defaultRowHeight="12.75"/>
  <cols>
    <col min="1" max="1" width="15.42578125" customWidth="1"/>
    <col min="2" max="2" width="12.42578125" bestFit="1" customWidth="1"/>
    <col min="3" max="3" width="12.28515625" bestFit="1" customWidth="1"/>
    <col min="4" max="4" width="11" bestFit="1" customWidth="1"/>
    <col min="5" max="5" width="12.42578125" customWidth="1"/>
    <col min="6" max="6" width="3.5703125" customWidth="1"/>
    <col min="7" max="7" width="11.5703125" bestFit="1" customWidth="1"/>
    <col min="8" max="8" width="12.42578125" customWidth="1"/>
    <col min="9" max="9" width="12.5703125" customWidth="1"/>
    <col min="10" max="10" width="9.5703125" bestFit="1" customWidth="1"/>
    <col min="11" max="11" width="11.5703125" bestFit="1" customWidth="1"/>
    <col min="12" max="12" width="12.5703125" bestFit="1" customWidth="1"/>
    <col min="13" max="13" width="11.5703125" bestFit="1" customWidth="1"/>
    <col min="14" max="14" width="11.28515625" customWidth="1"/>
  </cols>
  <sheetData>
    <row r="1" spans="1:20" ht="14.25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0" ht="14.25">
      <c r="A2" s="15"/>
      <c r="B2" s="186" t="s">
        <v>59</v>
      </c>
      <c r="C2" s="186"/>
      <c r="D2" s="186"/>
      <c r="E2" s="186"/>
      <c r="F2" s="15"/>
      <c r="G2" s="186" t="s">
        <v>60</v>
      </c>
      <c r="H2" s="186"/>
      <c r="I2" s="186"/>
      <c r="J2" s="184"/>
      <c r="K2" s="184"/>
      <c r="L2" s="15"/>
    </row>
    <row r="3" spans="1:20" ht="14.25">
      <c r="A3" s="15" t="s">
        <v>18</v>
      </c>
      <c r="B3" s="17" t="s">
        <v>71</v>
      </c>
      <c r="C3" s="17" t="s">
        <v>27</v>
      </c>
      <c r="D3" s="17" t="s">
        <v>72</v>
      </c>
      <c r="E3" s="17" t="s">
        <v>64</v>
      </c>
      <c r="F3" s="17"/>
      <c r="G3" s="184" t="s">
        <v>65</v>
      </c>
      <c r="H3" s="184"/>
      <c r="I3" s="184"/>
      <c r="J3" s="17" t="s">
        <v>73</v>
      </c>
      <c r="K3" s="17" t="s">
        <v>64</v>
      </c>
      <c r="L3" s="17" t="s">
        <v>61</v>
      </c>
    </row>
    <row r="4" spans="1:20" ht="16.5">
      <c r="A4" s="21" t="s">
        <v>62</v>
      </c>
      <c r="B4" s="23" t="s">
        <v>63</v>
      </c>
      <c r="C4" s="24"/>
      <c r="D4" s="24"/>
      <c r="E4" s="24"/>
      <c r="F4" s="24"/>
      <c r="G4" s="23" t="s">
        <v>29</v>
      </c>
      <c r="H4" s="23" t="s">
        <v>74</v>
      </c>
      <c r="I4" s="23" t="s">
        <v>75</v>
      </c>
      <c r="J4" s="24"/>
      <c r="K4" s="24"/>
      <c r="L4" s="17" t="s">
        <v>67</v>
      </c>
    </row>
    <row r="5" spans="1:20" ht="14.25">
      <c r="A5" s="15"/>
      <c r="B5" s="188" t="s">
        <v>76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</row>
    <row r="6" spans="1:20" ht="16.5">
      <c r="A6" s="15" t="s">
        <v>77</v>
      </c>
      <c r="B6" s="38">
        <v>1991.1479999999999</v>
      </c>
      <c r="C6" s="38">
        <f>C23</f>
        <v>26227.309000000001</v>
      </c>
      <c r="D6" s="127">
        <f>D23</f>
        <v>375.55383030479999</v>
      </c>
      <c r="E6" s="38">
        <f>E23</f>
        <v>28594.010830304804</v>
      </c>
      <c r="F6" s="38"/>
      <c r="G6" s="38">
        <f>K6-J6</f>
        <v>26609.028920468605</v>
      </c>
      <c r="H6" s="38">
        <f>H23</f>
        <v>12510.33</v>
      </c>
      <c r="I6" s="122">
        <f>G6-H6</f>
        <v>14098.698920468605</v>
      </c>
      <c r="J6" s="38">
        <f>J23</f>
        <v>377.90990983619997</v>
      </c>
      <c r="K6" s="38">
        <f>E6-L6</f>
        <v>26986.938830304804</v>
      </c>
      <c r="L6" s="38">
        <f>L22</f>
        <v>1607.0719999999999</v>
      </c>
    </row>
    <row r="7" spans="1:20" ht="16.5">
      <c r="A7" s="15" t="s">
        <v>78</v>
      </c>
      <c r="B7" s="38">
        <f>L6</f>
        <v>1607.0719999999999</v>
      </c>
      <c r="C7" s="38">
        <v>27115</v>
      </c>
      <c r="D7" s="127">
        <v>650</v>
      </c>
      <c r="E7" s="38">
        <f>SUM(B7:D7)</f>
        <v>29372.072</v>
      </c>
      <c r="F7" s="38"/>
      <c r="G7" s="38">
        <f>SUM(H7:I7)</f>
        <v>27100</v>
      </c>
      <c r="H7" s="38">
        <v>13000</v>
      </c>
      <c r="I7" s="122">
        <v>14100</v>
      </c>
      <c r="J7" s="38">
        <v>650</v>
      </c>
      <c r="K7" s="38">
        <f>G7+J7</f>
        <v>27750</v>
      </c>
      <c r="L7" s="38">
        <f>E7-K7</f>
        <v>1622.0720000000001</v>
      </c>
      <c r="M7" s="172"/>
      <c r="N7" s="172"/>
      <c r="O7" s="172"/>
      <c r="P7" s="172"/>
      <c r="Q7" s="172"/>
      <c r="R7" s="172"/>
      <c r="S7" s="172"/>
      <c r="T7" s="172"/>
    </row>
    <row r="8" spans="1:20" ht="16.5">
      <c r="A8" s="15" t="s">
        <v>37</v>
      </c>
      <c r="B8" s="38">
        <f>L7</f>
        <v>1622.0720000000001</v>
      </c>
      <c r="C8" s="38">
        <v>28515</v>
      </c>
      <c r="D8" s="127">
        <v>450</v>
      </c>
      <c r="E8" s="38">
        <f>SUM(B8:D8)</f>
        <v>30587.072</v>
      </c>
      <c r="F8" s="38"/>
      <c r="G8" s="38">
        <v>28200</v>
      </c>
      <c r="H8" s="38">
        <v>14000</v>
      </c>
      <c r="I8" s="122">
        <v>14200</v>
      </c>
      <c r="J8" s="38">
        <v>600</v>
      </c>
      <c r="K8" s="38">
        <f>G8+J8</f>
        <v>28800</v>
      </c>
      <c r="L8" s="38">
        <f>E8-K8</f>
        <v>1787.0720000000001</v>
      </c>
    </row>
    <row r="9" spans="1:20" ht="14.25">
      <c r="A9" s="15"/>
      <c r="B9" s="38"/>
      <c r="C9" s="38"/>
      <c r="D9" s="38"/>
      <c r="E9" s="38"/>
      <c r="F9" s="38"/>
      <c r="G9" s="38"/>
      <c r="H9" s="38"/>
      <c r="I9" s="78"/>
      <c r="J9" s="38"/>
      <c r="K9" s="38"/>
      <c r="L9" s="38"/>
    </row>
    <row r="10" spans="1:20" ht="15">
      <c r="A10" s="30" t="s">
        <v>35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20" ht="14.25">
      <c r="A11" s="15" t="s">
        <v>39</v>
      </c>
      <c r="B11" s="5">
        <f>B6</f>
        <v>1991.1479999999999</v>
      </c>
      <c r="C11" s="6">
        <v>2338.085</v>
      </c>
      <c r="D11" s="6">
        <f>(13491.4*2204.622)/1000000</f>
        <v>29.7434372508</v>
      </c>
      <c r="E11" s="6">
        <f t="shared" ref="E11:E18" si="0">SUM(B11:D11)</f>
        <v>4358.9764372507998</v>
      </c>
      <c r="F11" s="5"/>
      <c r="G11" s="5">
        <f>K11-J11</f>
        <v>2241.9110301381997</v>
      </c>
      <c r="H11" s="105">
        <v>906.40899999999999</v>
      </c>
      <c r="I11" s="6">
        <f t="shared" ref="I11:I17" si="1">G11-H11</f>
        <v>1335.5020301381996</v>
      </c>
      <c r="J11" s="6">
        <f>(10633.3*2204.622)/1000000</f>
        <v>23.442407112599994</v>
      </c>
      <c r="K11" s="6">
        <f>E11-L11</f>
        <v>2265.3534372507997</v>
      </c>
      <c r="L11" s="5">
        <v>2093.623</v>
      </c>
      <c r="M11" s="135"/>
      <c r="N11" s="86"/>
      <c r="P11" s="34"/>
    </row>
    <row r="12" spans="1:20" ht="14.25">
      <c r="A12" s="15" t="s">
        <v>40</v>
      </c>
      <c r="B12" s="5">
        <f>L11</f>
        <v>2093.623</v>
      </c>
      <c r="C12" s="6">
        <v>2199.962</v>
      </c>
      <c r="D12" s="6">
        <f>(11828.8*2204.622)/1000000</f>
        <v>26.078032713599995</v>
      </c>
      <c r="E12" s="6">
        <f t="shared" si="0"/>
        <v>4319.6630327135999</v>
      </c>
      <c r="F12" s="5"/>
      <c r="G12" s="5">
        <f t="shared" ref="G12:G18" si="2">K12-J12</f>
        <v>2183.9349958948001</v>
      </c>
      <c r="H12" s="105">
        <v>943.34199999999998</v>
      </c>
      <c r="I12" s="6">
        <f t="shared" si="1"/>
        <v>1240.5929958948</v>
      </c>
      <c r="J12" s="6">
        <f>(10635.4*2204.622)/1000000</f>
        <v>23.447036818799997</v>
      </c>
      <c r="K12" s="6">
        <f t="shared" ref="K12:K17" si="3">E12-L12</f>
        <v>2207.3820327136</v>
      </c>
      <c r="L12" s="5">
        <v>2112.2809999999999</v>
      </c>
      <c r="M12" s="135"/>
      <c r="N12" s="86"/>
      <c r="P12" s="34"/>
    </row>
    <row r="13" spans="1:20" ht="14.25">
      <c r="A13" s="15" t="s">
        <v>42</v>
      </c>
      <c r="B13" s="5">
        <f t="shared" ref="B13:B18" si="4">L12</f>
        <v>2112.2809999999999</v>
      </c>
      <c r="C13" s="6">
        <v>2195.3580000000002</v>
      </c>
      <c r="D13" s="6">
        <f>(10252.4*2204.622)/1000000</f>
        <v>22.602666592799999</v>
      </c>
      <c r="E13" s="6">
        <f t="shared" si="0"/>
        <v>4330.2416665928004</v>
      </c>
      <c r="F13" s="5"/>
      <c r="G13" s="5">
        <f t="shared" si="2"/>
        <v>1989.2951492472005</v>
      </c>
      <c r="H13" s="105">
        <v>885.65899999999999</v>
      </c>
      <c r="I13" s="6">
        <f t="shared" si="1"/>
        <v>1103.6361492472006</v>
      </c>
      <c r="J13" s="6">
        <f>(15784.8*2204.622)/1000000</f>
        <v>34.799517345599995</v>
      </c>
      <c r="K13" s="6">
        <f t="shared" si="3"/>
        <v>2024.0946665928004</v>
      </c>
      <c r="L13" s="5">
        <v>2306.1469999999999</v>
      </c>
      <c r="M13" s="135"/>
      <c r="N13" s="86"/>
      <c r="P13" s="34"/>
    </row>
    <row r="14" spans="1:20" ht="14.25">
      <c r="A14" s="15" t="s">
        <v>43</v>
      </c>
      <c r="B14" s="5">
        <f t="shared" si="4"/>
        <v>2306.1469999999999</v>
      </c>
      <c r="C14" s="6">
        <v>2252.3119999999999</v>
      </c>
      <c r="D14" s="6">
        <f>(11450.2*2204.622)/1000000</f>
        <v>25.243362824400002</v>
      </c>
      <c r="E14" s="6">
        <f t="shared" si="0"/>
        <v>4583.7023628243996</v>
      </c>
      <c r="F14" s="5"/>
      <c r="G14" s="5">
        <f t="shared" si="2"/>
        <v>2211.8881890357998</v>
      </c>
      <c r="H14" s="147">
        <v>940.94</v>
      </c>
      <c r="I14" s="6">
        <f t="shared" si="1"/>
        <v>1270.9481890357997</v>
      </c>
      <c r="J14" s="6">
        <f>(6991.3*2204.622)/1000000</f>
        <v>15.4131737886</v>
      </c>
      <c r="K14" s="6">
        <f t="shared" si="3"/>
        <v>2227.3013628243998</v>
      </c>
      <c r="L14" s="5">
        <v>2356.4009999999998</v>
      </c>
      <c r="M14" s="135"/>
      <c r="N14" s="86"/>
      <c r="P14" s="34"/>
    </row>
    <row r="15" spans="1:20" ht="14.25">
      <c r="A15" s="15" t="s">
        <v>44</v>
      </c>
      <c r="B15" s="5">
        <f t="shared" si="4"/>
        <v>2356.4009999999998</v>
      </c>
      <c r="C15" s="6">
        <v>2091.2179999999998</v>
      </c>
      <c r="D15" s="107">
        <f>(14704.2*2204.622)/1000000</f>
        <v>32.417202812399999</v>
      </c>
      <c r="E15" s="6">
        <f t="shared" si="0"/>
        <v>4480.0362028124</v>
      </c>
      <c r="F15" s="5"/>
      <c r="G15" s="5">
        <f t="shared" si="2"/>
        <v>2090.2903609479999</v>
      </c>
      <c r="H15" s="147">
        <v>934.12300000000005</v>
      </c>
      <c r="I15" s="6">
        <f t="shared" si="1"/>
        <v>1156.1673609479999</v>
      </c>
      <c r="J15" s="6">
        <f>(11770.2*2204.622)/1000000</f>
        <v>25.948841864399999</v>
      </c>
      <c r="K15" s="6">
        <f t="shared" si="3"/>
        <v>2116.2392028124</v>
      </c>
      <c r="L15" s="5">
        <v>2363.797</v>
      </c>
      <c r="M15" s="135"/>
      <c r="N15" s="86"/>
      <c r="P15" s="34"/>
    </row>
    <row r="16" spans="1:20" ht="14.25">
      <c r="A16" s="15" t="s">
        <v>46</v>
      </c>
      <c r="B16" s="5">
        <f t="shared" si="4"/>
        <v>2363.797</v>
      </c>
      <c r="C16" s="6">
        <v>2339.5810000000001</v>
      </c>
      <c r="D16" s="6">
        <f>(15181.4*2204.622)/1000000</f>
        <v>33.4692484308</v>
      </c>
      <c r="E16" s="6">
        <f t="shared" si="0"/>
        <v>4736.8472484308004</v>
      </c>
      <c r="F16" s="5"/>
      <c r="G16" s="5">
        <f t="shared" si="2"/>
        <v>2336.7097010100006</v>
      </c>
      <c r="H16" s="147">
        <v>952.48</v>
      </c>
      <c r="I16" s="6">
        <f t="shared" si="1"/>
        <v>1384.2297010100006</v>
      </c>
      <c r="J16" s="6">
        <f>(5726.4*2204.622)/1000000</f>
        <v>12.624547420799999</v>
      </c>
      <c r="K16" s="6">
        <f t="shared" si="3"/>
        <v>2349.3342484308005</v>
      </c>
      <c r="L16" s="5">
        <v>2387.5129999999999</v>
      </c>
      <c r="M16" s="135"/>
      <c r="N16" s="86"/>
      <c r="P16" s="34"/>
    </row>
    <row r="17" spans="1:16" ht="14.25">
      <c r="A17" s="15" t="s">
        <v>47</v>
      </c>
      <c r="B17" s="5">
        <f t="shared" si="4"/>
        <v>2387.5129999999999</v>
      </c>
      <c r="C17" s="6">
        <v>2236.3009999999999</v>
      </c>
      <c r="D17" s="6">
        <f>(15750.7*2204.622)/1000000</f>
        <v>34.724339735400001</v>
      </c>
      <c r="E17" s="6">
        <f t="shared" si="0"/>
        <v>4658.5383397353999</v>
      </c>
      <c r="F17" s="5"/>
      <c r="G17" s="5">
        <f t="shared" si="2"/>
        <v>2058.2348802817996</v>
      </c>
      <c r="H17" s="147">
        <v>926.70600000000002</v>
      </c>
      <c r="I17" s="6">
        <f t="shared" si="1"/>
        <v>1131.5288802817995</v>
      </c>
      <c r="J17" s="6">
        <f>(27498.8*2204.622)/1000000</f>
        <v>60.624459453599997</v>
      </c>
      <c r="K17" s="6">
        <f t="shared" si="3"/>
        <v>2118.8593397353998</v>
      </c>
      <c r="L17" s="5">
        <v>2539.6790000000001</v>
      </c>
      <c r="M17" s="135"/>
      <c r="N17" s="86"/>
      <c r="P17" s="34"/>
    </row>
    <row r="18" spans="1:16" ht="14.25">
      <c r="A18" s="15" t="s">
        <v>48</v>
      </c>
      <c r="B18" s="5">
        <f t="shared" si="4"/>
        <v>2539.6790000000001</v>
      </c>
      <c r="C18" s="6">
        <v>2228.3719999999998</v>
      </c>
      <c r="D18" s="6">
        <f>(24574.9*2204.622)/1000000</f>
        <v>54.178365187799997</v>
      </c>
      <c r="E18" s="6">
        <f t="shared" si="0"/>
        <v>4822.2293651877999</v>
      </c>
      <c r="F18" s="5"/>
      <c r="G18" s="5">
        <f t="shared" si="2"/>
        <v>2386.1092736129995</v>
      </c>
      <c r="H18" s="147">
        <v>1140.97</v>
      </c>
      <c r="I18" s="6">
        <f t="shared" ref="I18:I22" si="5">G18-H18</f>
        <v>1245.1392736129994</v>
      </c>
      <c r="J18" s="6">
        <f>(22633.4*2204.622)/1000000</f>
        <v>49.898091574799999</v>
      </c>
      <c r="K18" s="6">
        <f>E18-L18</f>
        <v>2436.0073651877997</v>
      </c>
      <c r="L18" s="5">
        <v>2386.2220000000002</v>
      </c>
      <c r="M18" s="135"/>
      <c r="N18" s="86"/>
      <c r="P18" s="34"/>
    </row>
    <row r="19" spans="1:16" ht="14.25">
      <c r="A19" s="15" t="s">
        <v>50</v>
      </c>
      <c r="B19" s="5">
        <f>L18</f>
        <v>2386.2220000000002</v>
      </c>
      <c r="C19" s="6">
        <v>2074.857</v>
      </c>
      <c r="D19" s="6">
        <f>(7902.1*2204.622)/1000000</f>
        <v>17.4211435062</v>
      </c>
      <c r="E19" s="6">
        <f>SUM(B19:D19)</f>
        <v>4478.5001435061995</v>
      </c>
      <c r="F19" s="5"/>
      <c r="G19" s="5">
        <f>K19-J19</f>
        <v>2235.0292895553998</v>
      </c>
      <c r="H19" s="147">
        <v>1207.0239999999999</v>
      </c>
      <c r="I19" s="6">
        <f t="shared" si="5"/>
        <v>1028.0052895553999</v>
      </c>
      <c r="J19" s="6">
        <f>(18341.4*2204.622)/1000000</f>
        <v>40.435853950800002</v>
      </c>
      <c r="K19" s="6">
        <f>E19-L19</f>
        <v>2275.4651435061996</v>
      </c>
      <c r="L19" s="5">
        <v>2203.0349999999999</v>
      </c>
      <c r="M19" s="135"/>
      <c r="N19" s="86"/>
      <c r="P19" s="34"/>
    </row>
    <row r="20" spans="1:16" ht="14.25">
      <c r="A20" s="15" t="s">
        <v>51</v>
      </c>
      <c r="B20" s="5">
        <f>L19</f>
        <v>2203.0349999999999</v>
      </c>
      <c r="C20" s="6">
        <v>2180.0360000000001</v>
      </c>
      <c r="D20" s="6">
        <f>(12819.4*2204.622)/1000000</f>
        <v>28.261931266799998</v>
      </c>
      <c r="E20" s="6">
        <f>SUM(B20:D20)</f>
        <v>4411.3329312668002</v>
      </c>
      <c r="F20" s="5"/>
      <c r="G20" s="5">
        <f>K20-J20</f>
        <v>2237.9374148913998</v>
      </c>
      <c r="H20" s="147">
        <v>1272.845</v>
      </c>
      <c r="I20" s="100">
        <f t="shared" si="5"/>
        <v>965.09241489139981</v>
      </c>
      <c r="J20" s="6">
        <f>(16870.7*2204.622)/1000000</f>
        <v>37.193516375400002</v>
      </c>
      <c r="K20" s="6">
        <f>E20-L20</f>
        <v>2275.1309312668</v>
      </c>
      <c r="L20" s="5">
        <v>2136.2020000000002</v>
      </c>
      <c r="M20" s="135"/>
      <c r="N20" s="86"/>
      <c r="P20" s="34"/>
    </row>
    <row r="21" spans="1:16" ht="14.25">
      <c r="A21" s="15" t="s">
        <v>52</v>
      </c>
      <c r="B21" s="5">
        <f>L20</f>
        <v>2136.2020000000002</v>
      </c>
      <c r="C21" s="102">
        <v>2014.153</v>
      </c>
      <c r="D21" s="6">
        <f>(21091.6*2204.622)/1000000</f>
        <v>46.499005375199999</v>
      </c>
      <c r="E21" s="6">
        <f>SUM(B21:D21)</f>
        <v>4196.8540053752004</v>
      </c>
      <c r="F21" s="5"/>
      <c r="G21" s="5">
        <f>K21-J21</f>
        <v>2398.3808472406004</v>
      </c>
      <c r="H21" s="147">
        <v>1192.3489999999999</v>
      </c>
      <c r="I21" s="104">
        <f t="shared" si="5"/>
        <v>1206.0318472406004</v>
      </c>
      <c r="J21" s="6">
        <f>(11834.3*2204.622)/1000000</f>
        <v>26.090158134599996</v>
      </c>
      <c r="K21" s="6">
        <f>E21-L21</f>
        <v>2424.4710053752005</v>
      </c>
      <c r="L21" s="5">
        <v>1772.383</v>
      </c>
      <c r="M21" s="135"/>
      <c r="N21" s="86"/>
      <c r="P21" s="34"/>
    </row>
    <row r="22" spans="1:16" ht="14.25">
      <c r="A22" s="15" t="s">
        <v>38</v>
      </c>
      <c r="B22" s="5">
        <f>L21</f>
        <v>1772.383</v>
      </c>
      <c r="C22" s="102">
        <v>2077.0740000000001</v>
      </c>
      <c r="D22" s="6">
        <f>(11301.5*2204.622)/1000000</f>
        <v>24.915535533</v>
      </c>
      <c r="E22" s="6">
        <f>SUM(B22:D22)</f>
        <v>3874.3725355330002</v>
      </c>
      <c r="F22" s="5"/>
      <c r="G22" s="5">
        <f>K22-J22</f>
        <v>2239.3080090746007</v>
      </c>
      <c r="H22" s="147">
        <v>1207.4829999999999</v>
      </c>
      <c r="I22" s="104">
        <f t="shared" si="5"/>
        <v>1031.8250090746008</v>
      </c>
      <c r="J22" s="6">
        <f>(12697.2*2204.622)/1000000</f>
        <v>27.9925264584</v>
      </c>
      <c r="K22" s="6">
        <f>E22-L22</f>
        <v>2267.3005355330006</v>
      </c>
      <c r="L22" s="5">
        <v>1607.0719999999999</v>
      </c>
      <c r="M22" s="135"/>
      <c r="N22" s="86"/>
      <c r="P22" s="34"/>
    </row>
    <row r="23" spans="1:16" ht="14.25">
      <c r="A23" s="15" t="s">
        <v>29</v>
      </c>
      <c r="B23" s="5"/>
      <c r="C23" s="102">
        <f>SUM(C11:C22)</f>
        <v>26227.309000000001</v>
      </c>
      <c r="D23" s="6">
        <f>(170348.4*2204.622)/1000000</f>
        <v>375.55383030479999</v>
      </c>
      <c r="E23" s="6">
        <f>B11+C23+D23</f>
        <v>28594.010830304804</v>
      </c>
      <c r="F23" s="5"/>
      <c r="G23" s="5">
        <f>K23-J23</f>
        <v>26609.029361393004</v>
      </c>
      <c r="H23" s="147">
        <f>SUM(H11:H22)</f>
        <v>12510.33</v>
      </c>
      <c r="I23" s="104">
        <f>G23-H23</f>
        <v>14098.699361393004</v>
      </c>
      <c r="J23" s="6">
        <f>(171417.1*2204.622)/1000000</f>
        <v>377.90990983619997</v>
      </c>
      <c r="K23" s="6">
        <f>SUM(K11:K22)</f>
        <v>26986.939271229203</v>
      </c>
      <c r="L23" s="5"/>
      <c r="P23" s="34"/>
    </row>
    <row r="24" spans="1:16" ht="14.25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  <c r="P24" s="34"/>
    </row>
    <row r="25" spans="1:16" ht="15">
      <c r="A25" s="30" t="s">
        <v>54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  <c r="P25" s="34"/>
    </row>
    <row r="26" spans="1:16" ht="14.25">
      <c r="A26" s="15" t="s">
        <v>39</v>
      </c>
      <c r="B26" s="5">
        <f>L22</f>
        <v>1607.0719999999999</v>
      </c>
      <c r="C26" s="6">
        <v>2375.654</v>
      </c>
      <c r="D26" s="6">
        <f>(20588.3*2204.622)/1000000</f>
        <v>45.389419122599996</v>
      </c>
      <c r="E26" s="6">
        <f t="shared" ref="E26:E27" si="6">SUM(B26:D26)</f>
        <v>4028.1154191225996</v>
      </c>
      <c r="F26" s="5"/>
      <c r="G26" s="5">
        <f t="shared" ref="G26:G32" si="7">K26-J26</f>
        <v>2513.5540054601997</v>
      </c>
      <c r="H26" s="148">
        <v>1062.24</v>
      </c>
      <c r="I26" s="104">
        <f t="shared" ref="I26" si="8">G26-H26</f>
        <v>1451.3140054601997</v>
      </c>
      <c r="J26" s="6">
        <f>(5879.2*2204.622)/1000000</f>
        <v>12.961413662399998</v>
      </c>
      <c r="K26" s="6">
        <f t="shared" ref="K26:K32" si="9">E26-L26</f>
        <v>2526.5154191225997</v>
      </c>
      <c r="L26" s="6">
        <v>1501.6</v>
      </c>
      <c r="N26" s="34"/>
      <c r="P26" s="34"/>
    </row>
    <row r="27" spans="1:16" ht="14.25">
      <c r="A27" s="15" t="s">
        <v>40</v>
      </c>
      <c r="B27" s="5">
        <f t="shared" ref="B27:B31" si="10">L26</f>
        <v>1501.6</v>
      </c>
      <c r="C27" s="6">
        <v>2324.6680000000001</v>
      </c>
      <c r="D27" s="6">
        <f>(16757.1*2204.622)/1000000</f>
        <v>36.943071316199998</v>
      </c>
      <c r="E27" s="6">
        <f t="shared" si="6"/>
        <v>3863.2110713162001</v>
      </c>
      <c r="F27" s="6"/>
      <c r="G27" s="6">
        <f t="shared" si="7"/>
        <v>2250.4175343679999</v>
      </c>
      <c r="H27" s="149">
        <v>1064.6769999999999</v>
      </c>
      <c r="I27" s="104">
        <f t="shared" ref="I27:I34" si="11">G27-H27</f>
        <v>1185.740534368</v>
      </c>
      <c r="J27" s="6">
        <f>(6213.1*2204.622)/1000000</f>
        <v>13.6975369482</v>
      </c>
      <c r="K27" s="6">
        <f t="shared" si="9"/>
        <v>2264.1150713162001</v>
      </c>
      <c r="L27" s="6">
        <v>1599.096</v>
      </c>
      <c r="N27" s="34"/>
      <c r="P27" s="34"/>
    </row>
    <row r="28" spans="1:16" ht="14.25">
      <c r="A28" s="15" t="s">
        <v>42</v>
      </c>
      <c r="B28" s="5">
        <f t="shared" si="10"/>
        <v>1599.096</v>
      </c>
      <c r="C28" s="6">
        <v>2376.2370000000001</v>
      </c>
      <c r="D28" s="6">
        <f>(21905.7*2204.622)/1000000</f>
        <v>48.293788145399994</v>
      </c>
      <c r="E28" s="6">
        <f t="shared" ref="E28:E36" si="12">SUM(B28:D28)</f>
        <v>4023.6267881454</v>
      </c>
      <c r="F28" s="6"/>
      <c r="G28" s="104">
        <f t="shared" si="7"/>
        <v>2186.9834934009996</v>
      </c>
      <c r="H28" s="149">
        <v>1141.8820000000001</v>
      </c>
      <c r="I28" s="104">
        <f t="shared" si="11"/>
        <v>1045.1014934009995</v>
      </c>
      <c r="J28" s="6">
        <f>(5810.2*2204.622)/1000000</f>
        <v>12.809294744399999</v>
      </c>
      <c r="K28" s="6">
        <f t="shared" si="9"/>
        <v>2199.7927881453998</v>
      </c>
      <c r="L28" s="6">
        <v>1823.8340000000001</v>
      </c>
      <c r="N28" s="34"/>
      <c r="P28" s="34"/>
    </row>
    <row r="29" spans="1:16" ht="14.25">
      <c r="A29" s="15" t="s">
        <v>43</v>
      </c>
      <c r="B29" s="5">
        <f t="shared" si="10"/>
        <v>1823.8340000000001</v>
      </c>
      <c r="C29" s="6">
        <v>2288.5720000000001</v>
      </c>
      <c r="D29" s="6">
        <f>(22995*2204.622)/1000000</f>
        <v>50.695282889999994</v>
      </c>
      <c r="E29" s="6">
        <f t="shared" si="12"/>
        <v>4163.1012828900002</v>
      </c>
      <c r="F29" s="6"/>
      <c r="G29" s="104">
        <f t="shared" si="7"/>
        <v>2122.8299197475999</v>
      </c>
      <c r="H29" s="6">
        <v>960.20299999999997</v>
      </c>
      <c r="I29" s="104">
        <f t="shared" si="11"/>
        <v>1162.6269197475999</v>
      </c>
      <c r="J29" s="6">
        <f>(5219.2*2204.622)/1000000</f>
        <v>11.506363142399998</v>
      </c>
      <c r="K29" s="6">
        <f t="shared" si="9"/>
        <v>2134.3362828899999</v>
      </c>
      <c r="L29" s="6">
        <v>2028.7650000000001</v>
      </c>
      <c r="N29" s="34"/>
    </row>
    <row r="30" spans="1:16" ht="14.25">
      <c r="A30" s="15" t="s">
        <v>44</v>
      </c>
      <c r="B30" s="5">
        <f t="shared" si="10"/>
        <v>2028.7650000000001</v>
      </c>
      <c r="C30" s="6">
        <v>2292.36</v>
      </c>
      <c r="D30" s="6">
        <f>(15950.7*2204.622)/1000000</f>
        <v>35.165264135399994</v>
      </c>
      <c r="E30" s="6">
        <f t="shared" si="12"/>
        <v>4356.2902641354003</v>
      </c>
      <c r="F30" s="6"/>
      <c r="G30" s="104">
        <f t="shared" si="7"/>
        <v>2193.7767908488004</v>
      </c>
      <c r="H30" s="6">
        <v>888.49</v>
      </c>
      <c r="I30" s="104">
        <f t="shared" si="11"/>
        <v>1305.2867908488004</v>
      </c>
      <c r="J30" s="6">
        <f>(6450.3*2204.622)/1000000</f>
        <v>14.220473286599999</v>
      </c>
      <c r="K30" s="6">
        <f t="shared" si="9"/>
        <v>2207.9972641354002</v>
      </c>
      <c r="L30" s="6">
        <v>2148.2930000000001</v>
      </c>
      <c r="N30" s="34"/>
    </row>
    <row r="31" spans="1:16" ht="14.25">
      <c r="A31" s="15" t="s">
        <v>46</v>
      </c>
      <c r="B31" s="5">
        <f t="shared" si="10"/>
        <v>2148.2930000000001</v>
      </c>
      <c r="C31" s="6">
        <v>2405.5709999999999</v>
      </c>
      <c r="D31" s="6">
        <f>(22598.7*2204.622)/1000000</f>
        <v>49.821591191399996</v>
      </c>
      <c r="E31" s="6">
        <f t="shared" si="12"/>
        <v>4603.6855911913999</v>
      </c>
      <c r="F31" s="6"/>
      <c r="G31" s="104">
        <f t="shared" si="7"/>
        <v>2135.8192490381998</v>
      </c>
      <c r="H31" s="6">
        <v>1026.1990000000001</v>
      </c>
      <c r="I31" s="104">
        <f t="shared" si="11"/>
        <v>1109.6202490381997</v>
      </c>
      <c r="J31" s="6">
        <f>(44790.6*2204.622)/1000000</f>
        <v>98.74634215319999</v>
      </c>
      <c r="K31" s="6">
        <f t="shared" si="9"/>
        <v>2234.5655911914</v>
      </c>
      <c r="L31" s="6">
        <v>2369.12</v>
      </c>
      <c r="N31" s="34"/>
    </row>
    <row r="32" spans="1:16" ht="14.25">
      <c r="A32" s="15" t="s">
        <v>47</v>
      </c>
      <c r="B32" s="5">
        <f>L31</f>
        <v>2369.12</v>
      </c>
      <c r="C32" s="6">
        <v>2097.7559999999999</v>
      </c>
      <c r="D32" s="6">
        <f>(24996.9*2204.622)/1000000</f>
        <v>55.108715671800006</v>
      </c>
      <c r="E32" s="6">
        <f t="shared" si="12"/>
        <v>4521.9847156718006</v>
      </c>
      <c r="F32" s="6"/>
      <c r="G32" s="104">
        <f t="shared" si="7"/>
        <v>2188.2718875420005</v>
      </c>
      <c r="H32" s="6">
        <v>1070.029</v>
      </c>
      <c r="I32" s="104">
        <f t="shared" si="11"/>
        <v>1118.2428875420005</v>
      </c>
      <c r="J32" s="6">
        <f>(10135.9*2204.622)/1000000</f>
        <v>22.345828129800001</v>
      </c>
      <c r="K32" s="6">
        <f t="shared" si="9"/>
        <v>2210.6177156718004</v>
      </c>
      <c r="L32" s="6">
        <v>2311.3670000000002</v>
      </c>
      <c r="N32" s="34"/>
    </row>
    <row r="33" spans="1:14" ht="14.25">
      <c r="A33" s="15" t="s">
        <v>48</v>
      </c>
      <c r="B33" s="5">
        <f>L32</f>
        <v>2311.3670000000002</v>
      </c>
      <c r="C33" s="6">
        <v>2268.8420000000001</v>
      </c>
      <c r="D33" s="6">
        <f>(40370*2204.622)/1000000</f>
        <v>89.00059014</v>
      </c>
      <c r="E33" s="6">
        <f t="shared" si="12"/>
        <v>4669.2095901400007</v>
      </c>
      <c r="F33" s="6"/>
      <c r="G33" s="104">
        <f t="shared" ref="G33:G35" si="13">K33-J33</f>
        <v>2387.1196363152008</v>
      </c>
      <c r="H33" s="6">
        <v>1076.011</v>
      </c>
      <c r="I33" s="104">
        <f t="shared" si="11"/>
        <v>1311.1086363152008</v>
      </c>
      <c r="J33" s="6">
        <f>(42508.4*2204.622)/1000000</f>
        <v>93.714953824800006</v>
      </c>
      <c r="K33" s="6">
        <f t="shared" ref="K33:K34" si="14">E33-L33</f>
        <v>2480.8345901400007</v>
      </c>
      <c r="L33" s="6">
        <v>2188.375</v>
      </c>
      <c r="N33" s="34"/>
    </row>
    <row r="34" spans="1:14" ht="14.25">
      <c r="A34" s="15" t="s">
        <v>50</v>
      </c>
      <c r="B34" s="5">
        <f>L33</f>
        <v>2188.375</v>
      </c>
      <c r="C34" s="6">
        <v>2183.6149999999998</v>
      </c>
      <c r="D34" s="6">
        <f>(45970.5*2204.622)/1000000</f>
        <v>101.347575651</v>
      </c>
      <c r="E34" s="6">
        <f t="shared" si="12"/>
        <v>4473.3375756509995</v>
      </c>
      <c r="F34" s="6"/>
      <c r="G34" s="104">
        <f t="shared" si="13"/>
        <v>2232.7034918979998</v>
      </c>
      <c r="H34" s="6">
        <v>1266.837</v>
      </c>
      <c r="I34" s="104">
        <f t="shared" si="11"/>
        <v>965.86649189799982</v>
      </c>
      <c r="J34" s="6">
        <f>(52311.5*2204.622)/1000000</f>
        <v>115.327083753</v>
      </c>
      <c r="K34" s="6">
        <f t="shared" si="14"/>
        <v>2348.0305756509997</v>
      </c>
      <c r="L34" s="6">
        <v>2125.3069999999998</v>
      </c>
      <c r="N34" s="34"/>
    </row>
    <row r="35" spans="1:14" ht="14.25">
      <c r="A35" s="15" t="s">
        <v>51</v>
      </c>
      <c r="B35" s="5">
        <f>L34</f>
        <v>2125.3069999999998</v>
      </c>
      <c r="C35" s="6">
        <v>2303.0819999999999</v>
      </c>
      <c r="D35" s="6">
        <f>(33095.7*2204.622)/1000000</f>
        <v>72.963508325399999</v>
      </c>
      <c r="E35" s="6">
        <f t="shared" si="12"/>
        <v>4501.352508325399</v>
      </c>
      <c r="F35" s="6"/>
      <c r="G35" s="104">
        <f t="shared" si="13"/>
        <v>2395.743151496999</v>
      </c>
      <c r="H35" s="6">
        <v>1139.1510000000001</v>
      </c>
      <c r="I35" s="104">
        <f>G35-H35</f>
        <v>1256.5921514969989</v>
      </c>
      <c r="J35" s="6">
        <f>(44032.2*2204.622)/1000000</f>
        <v>97.074356828399985</v>
      </c>
      <c r="K35" s="6">
        <f t="shared" ref="K35" si="15">E35-L35</f>
        <v>2492.8175083253991</v>
      </c>
      <c r="L35" s="6">
        <v>2008.5350000000001</v>
      </c>
      <c r="N35" s="34"/>
    </row>
    <row r="36" spans="1:14" ht="14.25">
      <c r="A36" s="15" t="s">
        <v>52</v>
      </c>
      <c r="B36" s="5">
        <f>L35</f>
        <v>2008.5350000000001</v>
      </c>
      <c r="C36" s="6">
        <v>1991.846</v>
      </c>
      <c r="D36" s="6">
        <f>(6929.7*2204.622)/1000000</f>
        <v>15.277369073399997</v>
      </c>
      <c r="E36" s="6">
        <f t="shared" si="12"/>
        <v>4015.6583690734005</v>
      </c>
      <c r="F36" s="6"/>
      <c r="G36" s="104">
        <f>K36-J36</f>
        <v>2322.2227831694004</v>
      </c>
      <c r="H36" s="6" t="s">
        <v>79</v>
      </c>
      <c r="I36" s="6" t="s">
        <v>79</v>
      </c>
      <c r="J36" s="6">
        <f>(29032*2204.622)/1000000</f>
        <v>64.004585903999995</v>
      </c>
      <c r="K36" s="6">
        <f>E36-L36</f>
        <v>2386.2273690734005</v>
      </c>
      <c r="L36" s="6">
        <v>1629.431</v>
      </c>
      <c r="N36" s="34"/>
    </row>
    <row r="37" spans="1:14" ht="16.5">
      <c r="A37" s="79" t="s">
        <v>80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</row>
    <row r="38" spans="1:14" ht="14.25">
      <c r="A38" s="15" t="s">
        <v>70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4" ht="14.25">
      <c r="A39" s="20" t="s">
        <v>58</v>
      </c>
      <c r="B39" s="36">
        <f>Contents!A18</f>
        <v>45581</v>
      </c>
      <c r="K39" s="34"/>
    </row>
    <row r="40" spans="1:14">
      <c r="E40" s="34"/>
    </row>
    <row r="41" spans="1:14">
      <c r="H41" s="91"/>
    </row>
  </sheetData>
  <mergeCells count="3">
    <mergeCell ref="B5:L5"/>
    <mergeCell ref="G2:I2"/>
    <mergeCell ref="B2:E2"/>
  </mergeCells>
  <phoneticPr fontId="50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R54"/>
  <sheetViews>
    <sheetView showGridLines="0" zoomScale="70" zoomScaleNormal="70" workbookViewId="0"/>
  </sheetViews>
  <sheetFormatPr defaultColWidth="9.28515625" defaultRowHeight="12.75"/>
  <cols>
    <col min="1" max="1" width="15.42578125" customWidth="1"/>
    <col min="2" max="2" width="13.28515625" customWidth="1"/>
    <col min="3" max="3" width="12.28515625" customWidth="1"/>
    <col min="4" max="4" width="16.5703125" customWidth="1"/>
    <col min="5" max="5" width="15.42578125" customWidth="1"/>
    <col min="6" max="6" width="11.42578125" customWidth="1"/>
    <col min="7" max="7" width="11.5703125" customWidth="1"/>
    <col min="8" max="8" width="14" customWidth="1"/>
    <col min="9" max="9" width="9.5703125" customWidth="1"/>
    <col min="10" max="11" width="7.5703125" customWidth="1"/>
    <col min="12" max="12" width="10" customWidth="1"/>
    <col min="13" max="13" width="9.5703125" customWidth="1"/>
    <col min="14" max="14" width="9.5703125" bestFit="1" customWidth="1"/>
    <col min="15" max="15" width="8.42578125" bestFit="1" customWidth="1"/>
    <col min="19" max="19" width="17.42578125" bestFit="1" customWidth="1"/>
    <col min="21" max="21" width="28.42578125" bestFit="1" customWidth="1"/>
  </cols>
  <sheetData>
    <row r="1" spans="1:15" ht="14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4.25">
      <c r="A2" s="15"/>
      <c r="B2" s="186" t="s">
        <v>59</v>
      </c>
      <c r="C2" s="186"/>
      <c r="D2" s="186"/>
      <c r="E2" s="186"/>
      <c r="F2" s="69"/>
      <c r="G2" s="186" t="s">
        <v>60</v>
      </c>
      <c r="H2" s="186"/>
      <c r="I2" s="186"/>
      <c r="J2" s="186"/>
      <c r="K2" s="69"/>
      <c r="L2" s="15"/>
      <c r="M2" s="15"/>
      <c r="N2" s="15"/>
      <c r="O2" s="15"/>
    </row>
    <row r="3" spans="1:15" ht="14.25">
      <c r="A3" s="15" t="s">
        <v>18</v>
      </c>
      <c r="B3" s="20" t="s">
        <v>71</v>
      </c>
      <c r="C3" s="20"/>
      <c r="D3" s="20"/>
      <c r="E3" s="20"/>
      <c r="F3" s="20"/>
      <c r="G3" s="20"/>
      <c r="H3" s="20"/>
      <c r="I3" s="20"/>
      <c r="J3" s="20"/>
      <c r="K3" s="17" t="s">
        <v>61</v>
      </c>
      <c r="L3" s="15"/>
      <c r="M3" s="15"/>
      <c r="N3" s="15"/>
      <c r="O3" s="15"/>
    </row>
    <row r="4" spans="1:15" ht="14.25">
      <c r="A4" s="21" t="s">
        <v>81</v>
      </c>
      <c r="B4" s="23" t="s">
        <v>82</v>
      </c>
      <c r="C4" s="55" t="s">
        <v>27</v>
      </c>
      <c r="D4" s="25" t="s">
        <v>72</v>
      </c>
      <c r="E4" s="23" t="s">
        <v>83</v>
      </c>
      <c r="F4" s="24"/>
      <c r="G4" s="23" t="s">
        <v>84</v>
      </c>
      <c r="H4" s="23" t="s">
        <v>31</v>
      </c>
      <c r="I4" s="23" t="s">
        <v>85</v>
      </c>
      <c r="J4" s="23" t="s">
        <v>86</v>
      </c>
      <c r="K4" s="23" t="s">
        <v>63</v>
      </c>
      <c r="L4" s="15"/>
      <c r="M4" s="15"/>
      <c r="N4" s="15"/>
      <c r="O4" s="15"/>
    </row>
    <row r="5" spans="1:15" ht="14.25">
      <c r="A5" s="15"/>
      <c r="B5" s="189" t="s">
        <v>87</v>
      </c>
      <c r="C5" s="189"/>
      <c r="D5" s="189"/>
      <c r="E5" s="189"/>
      <c r="F5" s="189"/>
      <c r="G5" s="189"/>
      <c r="H5" s="189"/>
      <c r="I5" s="189"/>
      <c r="J5" s="189"/>
      <c r="K5" s="189"/>
      <c r="L5" s="15"/>
      <c r="M5" s="15"/>
      <c r="N5" s="15"/>
      <c r="O5" s="15"/>
    </row>
    <row r="6" spans="1:15" ht="14.25">
      <c r="A6" s="15" t="s">
        <v>35</v>
      </c>
      <c r="B6" s="71">
        <v>395.42099999999999</v>
      </c>
      <c r="C6" s="71">
        <v>4415</v>
      </c>
      <c r="D6" s="128">
        <v>101.14</v>
      </c>
      <c r="E6" s="71">
        <f>B6+C6+D6</f>
        <v>4911.5610000000006</v>
      </c>
      <c r="F6" s="72"/>
      <c r="G6" s="71">
        <v>1389.82</v>
      </c>
      <c r="H6" s="129">
        <v>185.61</v>
      </c>
      <c r="I6" s="71">
        <f>J6-G6-H6</f>
        <v>2950.9960000000005</v>
      </c>
      <c r="J6" s="71">
        <f>E6-K6</f>
        <v>4526.4260000000004</v>
      </c>
      <c r="K6" s="130">
        <v>385.13499999999999</v>
      </c>
      <c r="L6" s="131"/>
      <c r="M6" s="131"/>
      <c r="N6" s="131"/>
      <c r="O6" s="15"/>
    </row>
    <row r="7" spans="1:15" ht="16.5">
      <c r="A7" s="15" t="s">
        <v>36</v>
      </c>
      <c r="B7" s="71">
        <f>K6</f>
        <v>385.13499999999999</v>
      </c>
      <c r="C7" s="71">
        <v>3644</v>
      </c>
      <c r="D7" s="128">
        <v>24.143999999999998</v>
      </c>
      <c r="E7" s="71">
        <f>B7+C7+D7</f>
        <v>4053.279</v>
      </c>
      <c r="F7" s="72"/>
      <c r="G7" s="71">
        <v>1371.923</v>
      </c>
      <c r="H7" s="129">
        <v>389.28699999999998</v>
      </c>
      <c r="I7" s="71">
        <v>1922</v>
      </c>
      <c r="J7" s="71">
        <f>SUM(G7:I7)</f>
        <v>3683.21</v>
      </c>
      <c r="K7" s="71">
        <f>E7-J7</f>
        <v>370.06899999999996</v>
      </c>
      <c r="L7" s="131"/>
      <c r="M7" s="15"/>
      <c r="N7" s="131"/>
      <c r="O7" s="15"/>
    </row>
    <row r="8" spans="1:15" ht="16.5">
      <c r="A8" s="14" t="s">
        <v>37</v>
      </c>
      <c r="B8" s="175">
        <f>K7</f>
        <v>370.06899999999996</v>
      </c>
      <c r="C8" s="175">
        <v>4341</v>
      </c>
      <c r="D8" s="176">
        <v>25</v>
      </c>
      <c r="E8" s="175">
        <f>B8+C8+D8</f>
        <v>4736.0689999999995</v>
      </c>
      <c r="F8" s="177"/>
      <c r="G8" s="175">
        <v>1400</v>
      </c>
      <c r="H8" s="178">
        <v>350</v>
      </c>
      <c r="I8" s="175">
        <v>2615</v>
      </c>
      <c r="J8" s="175">
        <f>SUM(G8:I8)</f>
        <v>4365</v>
      </c>
      <c r="K8" s="175">
        <f>E8-J8</f>
        <v>371.06899999999951</v>
      </c>
      <c r="L8" s="15"/>
      <c r="M8" s="15"/>
      <c r="N8" s="15"/>
      <c r="O8" s="15"/>
    </row>
    <row r="9" spans="1:15" ht="16.5">
      <c r="A9" s="40" t="s">
        <v>88</v>
      </c>
      <c r="B9" s="15"/>
      <c r="C9" s="70"/>
      <c r="D9" s="70"/>
      <c r="E9" s="70"/>
      <c r="F9" s="70"/>
      <c r="G9" s="73"/>
      <c r="H9" s="70"/>
      <c r="I9" s="70"/>
      <c r="J9" s="70"/>
      <c r="K9" s="15"/>
      <c r="L9" s="15"/>
      <c r="M9" s="15"/>
      <c r="N9" s="15"/>
      <c r="O9" s="15"/>
    </row>
    <row r="10" spans="1:15" ht="14.25">
      <c r="A10" s="15" t="s">
        <v>89</v>
      </c>
      <c r="B10" s="28"/>
      <c r="C10" s="33"/>
      <c r="D10" s="15"/>
      <c r="E10" s="28"/>
      <c r="F10" s="28"/>
      <c r="G10" s="28"/>
      <c r="H10" s="28"/>
      <c r="I10" s="28"/>
      <c r="J10" s="28"/>
      <c r="K10" s="15"/>
      <c r="L10" s="15"/>
      <c r="M10" s="15"/>
      <c r="N10" s="15"/>
      <c r="O10" s="15"/>
    </row>
    <row r="11" spans="1:15" ht="14.25">
      <c r="A11" s="15" t="s">
        <v>90</v>
      </c>
      <c r="B11" s="28"/>
      <c r="C11" s="33"/>
      <c r="D11" s="15"/>
      <c r="E11" s="28"/>
      <c r="F11" s="28"/>
      <c r="G11" s="28"/>
      <c r="H11" s="28"/>
      <c r="I11" s="28"/>
      <c r="J11" s="28"/>
      <c r="K11" s="15"/>
      <c r="L11" s="15"/>
      <c r="M11" s="15"/>
      <c r="N11" s="15"/>
      <c r="O11" s="15"/>
    </row>
    <row r="12" spans="1:15" ht="14.25">
      <c r="A12" s="15"/>
      <c r="B12" s="28"/>
      <c r="C12" s="33"/>
      <c r="D12" s="15"/>
      <c r="E12" s="28"/>
      <c r="F12" s="28"/>
      <c r="G12" s="28"/>
      <c r="H12" s="28"/>
      <c r="I12" s="28"/>
      <c r="J12" s="28"/>
      <c r="K12" s="15"/>
      <c r="L12" s="15"/>
      <c r="M12" s="15"/>
      <c r="N12" s="15"/>
      <c r="O12" s="15"/>
    </row>
    <row r="13" spans="1:15" ht="14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4.25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4.25">
      <c r="A15" s="15"/>
      <c r="B15" s="186" t="s">
        <v>59</v>
      </c>
      <c r="C15" s="186"/>
      <c r="D15" s="186"/>
      <c r="E15" s="186"/>
      <c r="F15" s="15"/>
      <c r="G15" s="186" t="s">
        <v>60</v>
      </c>
      <c r="H15" s="186"/>
      <c r="I15" s="186"/>
      <c r="J15" s="15"/>
      <c r="K15" s="15"/>
      <c r="L15" s="15"/>
      <c r="M15" s="15"/>
      <c r="N15" s="15"/>
      <c r="O15" s="15"/>
    </row>
    <row r="16" spans="1:15" ht="14.25">
      <c r="A16" s="15" t="s">
        <v>18</v>
      </c>
      <c r="B16" s="17" t="s">
        <v>71</v>
      </c>
      <c r="C16" s="20"/>
      <c r="D16" s="20"/>
      <c r="E16" s="20"/>
      <c r="F16" s="20"/>
      <c r="G16" s="20"/>
      <c r="H16" s="20"/>
      <c r="I16" s="20"/>
      <c r="J16" s="17" t="s">
        <v>61</v>
      </c>
      <c r="K16" s="15"/>
      <c r="L16" s="15"/>
      <c r="M16" s="15"/>
      <c r="N16" s="15"/>
      <c r="O16" s="15"/>
    </row>
    <row r="17" spans="1:15" ht="14.25">
      <c r="A17" s="21" t="s">
        <v>62</v>
      </c>
      <c r="B17" s="23" t="s">
        <v>63</v>
      </c>
      <c r="C17" s="55" t="s">
        <v>27</v>
      </c>
      <c r="D17" s="25" t="s">
        <v>72</v>
      </c>
      <c r="E17" s="23" t="s">
        <v>86</v>
      </c>
      <c r="F17" s="24"/>
      <c r="G17" s="71" t="s">
        <v>91</v>
      </c>
      <c r="H17" s="23" t="s">
        <v>31</v>
      </c>
      <c r="I17" s="25" t="s">
        <v>64</v>
      </c>
      <c r="J17" s="23" t="s">
        <v>63</v>
      </c>
      <c r="K17" s="15"/>
      <c r="L17" s="15"/>
      <c r="M17" s="15"/>
      <c r="N17" s="15"/>
      <c r="O17" s="15"/>
    </row>
    <row r="18" spans="1:15" ht="14.25">
      <c r="A18" s="15"/>
      <c r="B18" s="189" t="s">
        <v>92</v>
      </c>
      <c r="C18" s="189"/>
      <c r="D18" s="189"/>
      <c r="E18" s="189"/>
      <c r="F18" s="189"/>
      <c r="G18" s="189"/>
      <c r="H18" s="189"/>
      <c r="I18" s="189"/>
      <c r="J18" s="189"/>
      <c r="K18" s="15"/>
      <c r="L18" s="15"/>
      <c r="M18" s="15"/>
      <c r="N18" s="15"/>
      <c r="O18" s="15"/>
    </row>
    <row r="19" spans="1:15" ht="14.25">
      <c r="A19" s="15" t="s">
        <v>35</v>
      </c>
      <c r="B19" s="71">
        <v>22.315999999999999</v>
      </c>
      <c r="C19" s="129">
        <v>589.51700000000005</v>
      </c>
      <c r="D19" s="128">
        <v>0</v>
      </c>
      <c r="E19" s="129">
        <f>B19+C19+D19</f>
        <v>611.83300000000008</v>
      </c>
      <c r="F19" s="72"/>
      <c r="G19" s="129">
        <f>E19-J19-H19</f>
        <v>526.202</v>
      </c>
      <c r="H19" s="129">
        <v>53.07</v>
      </c>
      <c r="I19" s="129">
        <f>SUM(G19:H19)</f>
        <v>579.27200000000005</v>
      </c>
      <c r="J19" s="71">
        <v>32.561</v>
      </c>
      <c r="K19" s="15"/>
      <c r="L19" s="131"/>
      <c r="M19" s="15"/>
      <c r="N19" s="15"/>
      <c r="O19" s="15"/>
    </row>
    <row r="20" spans="1:15" ht="16.5">
      <c r="A20" s="15" t="s">
        <v>36</v>
      </c>
      <c r="B20" s="71">
        <f>J19</f>
        <v>32.561</v>
      </c>
      <c r="C20" s="129">
        <v>590</v>
      </c>
      <c r="D20" s="128">
        <v>0</v>
      </c>
      <c r="E20" s="129">
        <f>B20+C20+D20</f>
        <v>622.56100000000004</v>
      </c>
      <c r="F20" s="72"/>
      <c r="G20" s="129">
        <v>538</v>
      </c>
      <c r="H20" s="129">
        <v>50</v>
      </c>
      <c r="I20" s="129">
        <f>SUM(G20:H20)</f>
        <v>588</v>
      </c>
      <c r="J20" s="71">
        <f>E20-I20</f>
        <v>34.561000000000035</v>
      </c>
      <c r="K20" s="15"/>
      <c r="L20" s="15"/>
      <c r="M20" s="15"/>
      <c r="N20" s="15"/>
      <c r="O20" s="15"/>
    </row>
    <row r="21" spans="1:15" ht="16.5">
      <c r="A21" s="14" t="s">
        <v>37</v>
      </c>
      <c r="B21" s="175">
        <f>J20</f>
        <v>34.561000000000035</v>
      </c>
      <c r="C21" s="178">
        <v>615</v>
      </c>
      <c r="D21" s="176">
        <v>0</v>
      </c>
      <c r="E21" s="178">
        <f>B21+C21+D21</f>
        <v>649.56100000000004</v>
      </c>
      <c r="F21" s="177"/>
      <c r="G21" s="178">
        <v>550</v>
      </c>
      <c r="H21" s="178">
        <v>60</v>
      </c>
      <c r="I21" s="178">
        <f>SUM(G21:H21)</f>
        <v>610</v>
      </c>
      <c r="J21" s="175">
        <f>E21-I21</f>
        <v>39.561000000000035</v>
      </c>
      <c r="K21" s="15"/>
      <c r="L21" s="15"/>
      <c r="M21" s="15"/>
      <c r="N21" s="15"/>
      <c r="O21" s="15"/>
    </row>
    <row r="22" spans="1:15" ht="16.5">
      <c r="A22" s="40" t="s">
        <v>88</v>
      </c>
      <c r="B22" s="15"/>
      <c r="C22" s="70"/>
      <c r="D22" s="70"/>
      <c r="E22" s="70"/>
      <c r="F22" s="70"/>
      <c r="G22" s="70"/>
      <c r="H22" s="70"/>
      <c r="I22" s="15"/>
      <c r="J22" s="15"/>
      <c r="K22" s="15"/>
      <c r="L22" s="15"/>
      <c r="M22" s="15"/>
      <c r="N22" s="15"/>
      <c r="O22" s="15"/>
    </row>
    <row r="23" spans="1:15" ht="14.25">
      <c r="A23" s="15" t="s">
        <v>93</v>
      </c>
      <c r="B23" s="72"/>
      <c r="C23" s="72"/>
      <c r="D23" s="72"/>
      <c r="E23" s="72"/>
      <c r="F23" s="72"/>
      <c r="G23" s="72"/>
      <c r="H23" s="72"/>
      <c r="I23" s="15"/>
      <c r="J23" s="15"/>
      <c r="K23" s="15"/>
      <c r="L23" s="15"/>
      <c r="M23" s="15"/>
      <c r="N23" s="15"/>
      <c r="O23" s="15"/>
    </row>
    <row r="24" spans="1:15" ht="14.25">
      <c r="A24" s="15"/>
      <c r="B24" s="28"/>
      <c r="C24" s="28"/>
      <c r="D24" s="28"/>
      <c r="E24" s="28"/>
      <c r="F24" s="28"/>
      <c r="G24" s="28"/>
      <c r="H24" s="28"/>
      <c r="I24" s="15"/>
      <c r="J24" s="15"/>
      <c r="K24" s="15"/>
      <c r="L24" s="15"/>
      <c r="M24" s="15"/>
      <c r="N24" s="15"/>
      <c r="O24" s="15"/>
    </row>
    <row r="25" spans="1:15" ht="14.25">
      <c r="A25" s="15"/>
      <c r="B25" s="28"/>
      <c r="C25" s="33"/>
      <c r="D25" s="28"/>
      <c r="E25" s="28"/>
      <c r="F25" s="28"/>
      <c r="G25" s="28"/>
      <c r="H25" s="28"/>
      <c r="I25" s="15"/>
      <c r="J25" s="15"/>
      <c r="K25" s="15"/>
      <c r="L25" s="15"/>
      <c r="M25" s="15"/>
      <c r="N25" s="15"/>
      <c r="O25" s="15"/>
    </row>
    <row r="26" spans="1:15" ht="14.25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4.25">
      <c r="A27" s="15"/>
      <c r="B27" s="186" t="s">
        <v>59</v>
      </c>
      <c r="C27" s="186"/>
      <c r="D27" s="186"/>
      <c r="E27" s="186"/>
      <c r="F27" s="15"/>
      <c r="G27" s="186" t="s">
        <v>60</v>
      </c>
      <c r="H27" s="186"/>
      <c r="I27" s="186"/>
      <c r="J27" s="15"/>
      <c r="K27" s="15"/>
      <c r="L27" s="15"/>
      <c r="M27" s="15"/>
      <c r="N27" s="15"/>
      <c r="O27" s="15"/>
    </row>
    <row r="28" spans="1:15" ht="14.25">
      <c r="A28" s="15" t="s">
        <v>18</v>
      </c>
      <c r="B28" s="17" t="s">
        <v>71</v>
      </c>
      <c r="C28" s="20"/>
      <c r="D28" s="20"/>
      <c r="E28" s="20"/>
      <c r="F28" s="20"/>
      <c r="G28" s="20"/>
      <c r="H28" s="20"/>
      <c r="I28" s="20"/>
      <c r="J28" s="17" t="s">
        <v>61</v>
      </c>
      <c r="K28" s="15"/>
      <c r="L28" s="15"/>
      <c r="M28" s="15"/>
      <c r="N28" s="15"/>
      <c r="O28" s="15"/>
    </row>
    <row r="29" spans="1:15" ht="14.25">
      <c r="A29" s="21" t="s">
        <v>62</v>
      </c>
      <c r="B29" s="23" t="s">
        <v>63</v>
      </c>
      <c r="C29" s="23" t="s">
        <v>27</v>
      </c>
      <c r="D29" s="25" t="s">
        <v>72</v>
      </c>
      <c r="E29" s="23" t="s">
        <v>86</v>
      </c>
      <c r="F29" s="24"/>
      <c r="G29" s="23" t="s">
        <v>65</v>
      </c>
      <c r="H29" s="23" t="s">
        <v>31</v>
      </c>
      <c r="I29" s="23" t="s">
        <v>64</v>
      </c>
      <c r="J29" s="23" t="s">
        <v>67</v>
      </c>
      <c r="K29" s="15"/>
      <c r="L29" s="15"/>
      <c r="M29" s="15"/>
      <c r="N29" s="15"/>
      <c r="O29" s="15"/>
    </row>
    <row r="30" spans="1:15" ht="14.25">
      <c r="A30" s="15"/>
      <c r="B30" s="189" t="s">
        <v>76</v>
      </c>
      <c r="C30" s="189"/>
      <c r="D30" s="189"/>
      <c r="E30" s="189"/>
      <c r="F30" s="189"/>
      <c r="G30" s="189"/>
      <c r="H30" s="189"/>
      <c r="I30" s="189"/>
      <c r="J30" s="189"/>
      <c r="K30" s="15"/>
      <c r="L30" s="15"/>
      <c r="M30" s="15"/>
      <c r="N30" s="15"/>
      <c r="O30" s="15"/>
    </row>
    <row r="31" spans="1:15" ht="14.25">
      <c r="A31" s="15" t="s">
        <v>35</v>
      </c>
      <c r="B31" s="128">
        <v>49.698</v>
      </c>
      <c r="C31" s="129">
        <v>365.27800000000002</v>
      </c>
      <c r="D31" s="128">
        <v>15.945374023673997</v>
      </c>
      <c r="E31" s="132">
        <f>B31+C31+D31</f>
        <v>430.92137402367399</v>
      </c>
      <c r="F31" s="72"/>
      <c r="G31" s="129">
        <v>309.67673674592402</v>
      </c>
      <c r="H31" s="129">
        <v>71.126637277750007</v>
      </c>
      <c r="I31" s="129">
        <f>SUM(G31:H31)</f>
        <v>380.803374023674</v>
      </c>
      <c r="J31" s="129">
        <f>E31-I31</f>
        <v>50.117999999999995</v>
      </c>
      <c r="K31" s="15"/>
      <c r="L31" s="131"/>
      <c r="M31" s="15"/>
      <c r="N31" s="15"/>
      <c r="O31" s="15"/>
    </row>
    <row r="32" spans="1:15" ht="16.5">
      <c r="A32" s="15" t="s">
        <v>36</v>
      </c>
      <c r="B32" s="128">
        <f>J31</f>
        <v>50.117999999999995</v>
      </c>
      <c r="C32" s="129">
        <v>370</v>
      </c>
      <c r="D32" s="128">
        <v>2</v>
      </c>
      <c r="E32" s="132">
        <f>B32+C32+D32</f>
        <v>422.11799999999999</v>
      </c>
      <c r="F32" s="72"/>
      <c r="G32" s="129">
        <v>349</v>
      </c>
      <c r="H32" s="129">
        <v>23</v>
      </c>
      <c r="I32" s="129">
        <f>SUM(G32:H32)</f>
        <v>372</v>
      </c>
      <c r="J32" s="129">
        <f>E32-I32</f>
        <v>50.117999999999995</v>
      </c>
      <c r="K32" s="15"/>
      <c r="L32" s="15"/>
      <c r="M32" s="15"/>
      <c r="N32" s="15"/>
      <c r="O32" s="15"/>
    </row>
    <row r="33" spans="1:18" ht="16.5">
      <c r="A33" s="14" t="s">
        <v>37</v>
      </c>
      <c r="B33" s="176">
        <f>J32</f>
        <v>50.117999999999995</v>
      </c>
      <c r="C33" s="178">
        <v>375</v>
      </c>
      <c r="D33" s="176">
        <v>5</v>
      </c>
      <c r="E33" s="179">
        <f>B33+C33+D33</f>
        <v>430.11799999999999</v>
      </c>
      <c r="F33" s="177"/>
      <c r="G33" s="178">
        <v>330</v>
      </c>
      <c r="H33" s="178">
        <v>50</v>
      </c>
      <c r="I33" s="178">
        <f>SUM(G33:H33)</f>
        <v>380</v>
      </c>
      <c r="J33" s="178">
        <f>E33-I33</f>
        <v>50.117999999999995</v>
      </c>
      <c r="K33" s="15"/>
      <c r="L33" s="15"/>
      <c r="M33" s="15"/>
      <c r="N33" s="15"/>
      <c r="O33" s="15"/>
    </row>
    <row r="34" spans="1:18" ht="16.5">
      <c r="A34" s="40" t="s">
        <v>88</v>
      </c>
      <c r="B34" s="15"/>
      <c r="C34" s="70"/>
      <c r="D34" s="70"/>
      <c r="E34" s="70"/>
      <c r="F34" s="70"/>
      <c r="G34" s="70"/>
      <c r="H34" s="70"/>
      <c r="I34" s="15"/>
      <c r="J34" s="15"/>
      <c r="K34" s="15"/>
      <c r="L34" s="15"/>
      <c r="M34" s="15"/>
      <c r="N34" s="15"/>
      <c r="O34" s="15"/>
      <c r="R34" s="110"/>
    </row>
    <row r="35" spans="1:18" ht="14.25">
      <c r="A35" s="15" t="s">
        <v>93</v>
      </c>
      <c r="B35" s="28"/>
      <c r="C35" s="33"/>
      <c r="D35" s="28"/>
      <c r="E35" s="28"/>
      <c r="F35" s="28"/>
      <c r="G35" s="28"/>
      <c r="H35" s="28"/>
      <c r="I35" s="15"/>
      <c r="J35" s="15"/>
      <c r="K35" s="15"/>
      <c r="L35" s="15"/>
      <c r="M35" s="15"/>
      <c r="N35" s="15"/>
      <c r="O35" s="15"/>
      <c r="R35" s="110"/>
    </row>
    <row r="36" spans="1:18" ht="14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8" ht="14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8" ht="14.25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8" ht="14.25">
      <c r="A39" s="15"/>
      <c r="B39" s="186" t="s">
        <v>14</v>
      </c>
      <c r="C39" s="186"/>
      <c r="D39" s="17" t="s">
        <v>15</v>
      </c>
      <c r="E39" s="186" t="s">
        <v>16</v>
      </c>
      <c r="F39" s="186"/>
      <c r="G39" s="186"/>
      <c r="H39" s="186"/>
      <c r="I39" s="15"/>
      <c r="J39" s="186" t="s">
        <v>60</v>
      </c>
      <c r="K39" s="186"/>
      <c r="L39" s="186"/>
      <c r="M39" s="186"/>
      <c r="N39" s="186"/>
      <c r="O39" s="69"/>
    </row>
    <row r="40" spans="1:18" ht="14.25">
      <c r="A40" s="15" t="s">
        <v>18</v>
      </c>
      <c r="B40" s="17" t="s">
        <v>19</v>
      </c>
      <c r="C40" s="17" t="s">
        <v>20</v>
      </c>
      <c r="D40" s="15"/>
      <c r="E40" s="17" t="s">
        <v>71</v>
      </c>
      <c r="F40" s="17"/>
      <c r="G40" s="17"/>
      <c r="H40" s="17"/>
      <c r="I40" s="15"/>
      <c r="J40" s="52" t="s">
        <v>91</v>
      </c>
      <c r="K40" s="17"/>
      <c r="L40" s="17" t="s">
        <v>23</v>
      </c>
      <c r="M40" s="17"/>
      <c r="N40" s="17"/>
      <c r="O40" s="17" t="s">
        <v>61</v>
      </c>
    </row>
    <row r="41" spans="1:18" ht="14.25">
      <c r="A41" s="21" t="s">
        <v>81</v>
      </c>
      <c r="B41" s="22"/>
      <c r="C41" s="22"/>
      <c r="D41" s="22"/>
      <c r="E41" s="23" t="s">
        <v>63</v>
      </c>
      <c r="F41" s="23" t="s">
        <v>27</v>
      </c>
      <c r="G41" s="23" t="s">
        <v>72</v>
      </c>
      <c r="H41" s="23" t="s">
        <v>86</v>
      </c>
      <c r="I41" s="23"/>
      <c r="J41" s="23" t="s">
        <v>94</v>
      </c>
      <c r="K41" s="23" t="s">
        <v>84</v>
      </c>
      <c r="L41" s="23" t="s">
        <v>30</v>
      </c>
      <c r="M41" s="25" t="s">
        <v>31</v>
      </c>
      <c r="N41" s="23" t="s">
        <v>64</v>
      </c>
      <c r="O41" s="23" t="s">
        <v>67</v>
      </c>
    </row>
    <row r="42" spans="1:18" ht="14.25">
      <c r="A42" s="15"/>
      <c r="B42" s="190" t="s">
        <v>95</v>
      </c>
      <c r="C42" s="191"/>
      <c r="D42" s="74" t="s">
        <v>96</v>
      </c>
      <c r="E42" s="192" t="s">
        <v>97</v>
      </c>
      <c r="F42" s="189"/>
      <c r="G42" s="189"/>
      <c r="H42" s="189"/>
      <c r="I42" s="189"/>
      <c r="J42" s="189"/>
      <c r="K42" s="189"/>
      <c r="L42" s="189"/>
      <c r="M42" s="189"/>
      <c r="N42" s="189"/>
      <c r="O42" s="191"/>
    </row>
    <row r="43" spans="1:18" ht="14.25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8" ht="14.25">
      <c r="A44" s="15" t="s">
        <v>35</v>
      </c>
      <c r="B44" s="71">
        <v>1448.5</v>
      </c>
      <c r="C44" s="71">
        <v>1381.4</v>
      </c>
      <c r="D44" s="71">
        <f>F44*1000/C44</f>
        <v>4011.7069639496162</v>
      </c>
      <c r="E44" s="71">
        <v>2360.2570000000001</v>
      </c>
      <c r="F44" s="71">
        <v>5541.7719999999999</v>
      </c>
      <c r="G44" s="129">
        <v>103.13172545378339</v>
      </c>
      <c r="H44" s="71">
        <f>SUM(E44:G44)</f>
        <v>8005.1607254537839</v>
      </c>
      <c r="I44" s="71"/>
      <c r="J44" s="71">
        <v>3298.5</v>
      </c>
      <c r="K44" s="71">
        <v>794.70279860000005</v>
      </c>
      <c r="L44" s="129">
        <f>N44-J44-K44-M44</f>
        <v>681.75480869735929</v>
      </c>
      <c r="M44" s="129">
        <v>1197.1171181564243</v>
      </c>
      <c r="N44" s="71">
        <f>H44-O44</f>
        <v>5972.0747254537837</v>
      </c>
      <c r="O44" s="71">
        <v>2033.086</v>
      </c>
      <c r="P44" s="110"/>
      <c r="Q44" s="110"/>
    </row>
    <row r="45" spans="1:18" ht="16.5">
      <c r="A45" s="15" t="s">
        <v>36</v>
      </c>
      <c r="B45" s="71">
        <v>1645</v>
      </c>
      <c r="C45" s="71">
        <v>1557</v>
      </c>
      <c r="D45" s="71">
        <f>F45*1000/C45</f>
        <v>3774.9261400128453</v>
      </c>
      <c r="E45" s="71">
        <f>O44</f>
        <v>2033.086</v>
      </c>
      <c r="F45" s="71">
        <v>5877.56</v>
      </c>
      <c r="G45" s="129">
        <v>104.31366757849419</v>
      </c>
      <c r="H45" s="71">
        <f>SUM(E45:G45)</f>
        <v>8014.9596675784951</v>
      </c>
      <c r="I45" s="71"/>
      <c r="J45" s="71">
        <v>3123.4</v>
      </c>
      <c r="K45" s="71">
        <v>654.23564369999997</v>
      </c>
      <c r="L45" s="129">
        <f>N45-J45-K45-M45</f>
        <v>1301.3553895999737</v>
      </c>
      <c r="M45" s="129">
        <v>1455.3466342785212</v>
      </c>
      <c r="N45" s="71">
        <f>H45-O45</f>
        <v>6534.3376675784948</v>
      </c>
      <c r="O45" s="71">
        <f>1480.622</f>
        <v>1480.6220000000001</v>
      </c>
      <c r="P45" s="110"/>
      <c r="Q45" s="110"/>
    </row>
    <row r="46" spans="1:18" ht="16.5">
      <c r="A46" s="14" t="s">
        <v>37</v>
      </c>
      <c r="B46" s="175">
        <v>1805</v>
      </c>
      <c r="C46" s="175">
        <v>1749</v>
      </c>
      <c r="D46" s="175">
        <f>F46*1000/C46</f>
        <v>3682.9045168667808</v>
      </c>
      <c r="E46" s="175">
        <f>O45</f>
        <v>1480.6220000000001</v>
      </c>
      <c r="F46" s="175">
        <v>6441.4</v>
      </c>
      <c r="G46" s="178">
        <v>100</v>
      </c>
      <c r="H46" s="175">
        <f>SUM(E46:G46)</f>
        <v>8022.0219999999999</v>
      </c>
      <c r="I46" s="175"/>
      <c r="J46" s="175">
        <v>3159.47</v>
      </c>
      <c r="K46" s="175">
        <v>800</v>
      </c>
      <c r="L46" s="178">
        <v>1271.25</v>
      </c>
      <c r="M46" s="178">
        <v>1200</v>
      </c>
      <c r="N46" s="175">
        <f>SUM(J46:M46)</f>
        <v>6430.7199999999993</v>
      </c>
      <c r="O46" s="175">
        <f>H46-N46</f>
        <v>1591.3020000000006</v>
      </c>
      <c r="P46" s="110"/>
      <c r="Q46" s="110"/>
    </row>
    <row r="47" spans="1:18" ht="16.5">
      <c r="A47" s="40" t="s">
        <v>88</v>
      </c>
      <c r="B47" s="15"/>
      <c r="C47" s="70"/>
      <c r="D47" s="70"/>
      <c r="E47" s="70"/>
      <c r="F47" s="70"/>
      <c r="G47" s="70"/>
      <c r="H47" s="70"/>
      <c r="I47" s="15"/>
      <c r="J47" s="15"/>
      <c r="K47" s="15"/>
      <c r="L47" s="15"/>
      <c r="M47" s="15"/>
      <c r="N47" s="15"/>
      <c r="O47" s="15"/>
    </row>
    <row r="48" spans="1:18" ht="14.25">
      <c r="A48" s="15" t="s">
        <v>98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25">
      <c r="A49" s="15" t="s">
        <v>90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4.25">
      <c r="A50" s="20" t="s">
        <v>58</v>
      </c>
      <c r="B50" s="75">
        <f>Contents!A18</f>
        <v>45581</v>
      </c>
      <c r="C50" s="15"/>
      <c r="D50" s="15"/>
      <c r="E50" s="15"/>
      <c r="F50" s="15"/>
      <c r="G50" s="15"/>
      <c r="H50" s="15"/>
      <c r="I50" s="15"/>
      <c r="J50" s="131"/>
      <c r="K50" s="15"/>
      <c r="L50" s="15"/>
      <c r="M50" s="15"/>
      <c r="N50" s="15"/>
      <c r="O50" s="15"/>
    </row>
    <row r="51" spans="1:15" ht="44.65" customHeight="1">
      <c r="A51" s="76"/>
      <c r="B51" s="77"/>
      <c r="C51" s="77"/>
      <c r="D51" s="77"/>
      <c r="E51" s="77"/>
      <c r="F51" s="77"/>
      <c r="G51" s="77"/>
      <c r="H51" s="77"/>
      <c r="I51" s="77"/>
      <c r="J51" s="90"/>
      <c r="K51" s="77"/>
      <c r="L51" s="77"/>
      <c r="M51" s="77"/>
      <c r="N51" s="77"/>
      <c r="O51" s="77"/>
    </row>
    <row r="52" spans="1:15" ht="15.75">
      <c r="G52" s="60"/>
      <c r="H52" s="60"/>
    </row>
    <row r="53" spans="1:15" ht="15.75">
      <c r="G53" s="60"/>
      <c r="H53" s="60"/>
    </row>
    <row r="54" spans="1:15" ht="15.75">
      <c r="G54" s="60"/>
      <c r="H54" s="60"/>
    </row>
  </sheetData>
  <mergeCells count="14">
    <mergeCell ref="B39:C39"/>
    <mergeCell ref="B42:C42"/>
    <mergeCell ref="B18:J18"/>
    <mergeCell ref="E39:H39"/>
    <mergeCell ref="B30:J30"/>
    <mergeCell ref="E42:O42"/>
    <mergeCell ref="J39:N39"/>
    <mergeCell ref="G2:J2"/>
    <mergeCell ref="G15:I15"/>
    <mergeCell ref="B15:E15"/>
    <mergeCell ref="B2:E2"/>
    <mergeCell ref="B27:E27"/>
    <mergeCell ref="G27:I27"/>
    <mergeCell ref="B5:K5"/>
  </mergeCells>
  <phoneticPr fontId="50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L51"/>
  <sheetViews>
    <sheetView showGridLines="0" zoomScale="70" zoomScaleNormal="70" workbookViewId="0">
      <pane xSplit="1" ySplit="4" topLeftCell="B5" activePane="bottomRight" state="frozen"/>
      <selection pane="bottomRight"/>
      <selection pane="bottomLeft" activeCell="J33" sqref="J33"/>
      <selection pane="topRight" activeCell="J33" sqref="J33"/>
    </sheetView>
  </sheetViews>
  <sheetFormatPr defaultColWidth="9.28515625" defaultRowHeight="12.75"/>
  <cols>
    <col min="1" max="1" width="11.5703125" customWidth="1"/>
    <col min="2" max="2" width="18.7109375" bestFit="1" customWidth="1"/>
    <col min="3" max="3" width="22.28515625" bestFit="1" customWidth="1"/>
    <col min="4" max="4" width="23.7109375" customWidth="1"/>
    <col min="5" max="5" width="25.42578125" customWidth="1"/>
    <col min="6" max="6" width="16.5703125" bestFit="1" customWidth="1"/>
    <col min="7" max="7" width="18.7109375" bestFit="1" customWidth="1"/>
  </cols>
  <sheetData>
    <row r="1" spans="1:10" ht="15.6" customHeight="1">
      <c r="A1" s="14" t="s">
        <v>8</v>
      </c>
      <c r="B1" s="14"/>
      <c r="C1" s="14"/>
      <c r="D1" s="14"/>
      <c r="E1" s="14"/>
      <c r="F1" s="14"/>
      <c r="G1" s="14"/>
    </row>
    <row r="2" spans="1:10" ht="15.6" customHeight="1">
      <c r="A2" s="15" t="s">
        <v>99</v>
      </c>
      <c r="B2" s="17" t="s">
        <v>100</v>
      </c>
      <c r="C2" s="17" t="s">
        <v>101</v>
      </c>
      <c r="D2" s="17" t="s">
        <v>102</v>
      </c>
      <c r="E2" s="17" t="s">
        <v>103</v>
      </c>
      <c r="F2" s="17" t="s">
        <v>104</v>
      </c>
      <c r="G2" s="17" t="s">
        <v>105</v>
      </c>
    </row>
    <row r="3" spans="1:10" ht="15.6" customHeight="1">
      <c r="A3" s="14" t="s">
        <v>106</v>
      </c>
      <c r="B3" s="24"/>
      <c r="C3" s="44"/>
      <c r="D3" s="44"/>
      <c r="E3" s="44"/>
      <c r="F3" s="44"/>
      <c r="G3" s="44"/>
    </row>
    <row r="4" spans="1:10" ht="14.25">
      <c r="A4" s="45"/>
      <c r="B4" s="46" t="s">
        <v>107</v>
      </c>
      <c r="C4" s="46" t="s">
        <v>108</v>
      </c>
      <c r="D4" s="46" t="s">
        <v>109</v>
      </c>
      <c r="E4" s="46" t="s">
        <v>109</v>
      </c>
      <c r="F4" s="46" t="s">
        <v>110</v>
      </c>
      <c r="G4" s="46" t="s">
        <v>107</v>
      </c>
    </row>
    <row r="5" spans="1:10" ht="14.25">
      <c r="A5" s="15"/>
      <c r="B5" s="15"/>
      <c r="C5" s="15"/>
      <c r="D5" s="17"/>
      <c r="E5" s="15"/>
      <c r="F5" s="15"/>
      <c r="G5" s="15"/>
    </row>
    <row r="6" spans="1:10" ht="14.25">
      <c r="A6" s="15" t="s">
        <v>111</v>
      </c>
      <c r="B6" s="47">
        <v>11.3</v>
      </c>
      <c r="C6" s="47">
        <v>161</v>
      </c>
      <c r="D6" s="47">
        <v>23.3</v>
      </c>
      <c r="E6" s="47">
        <v>19.3</v>
      </c>
      <c r="F6" s="47">
        <v>22.5</v>
      </c>
      <c r="G6" s="47">
        <v>12.2</v>
      </c>
      <c r="J6" s="61"/>
    </row>
    <row r="7" spans="1:10" ht="14.25">
      <c r="A7" s="15" t="s">
        <v>112</v>
      </c>
      <c r="B7" s="47">
        <v>12.5</v>
      </c>
      <c r="C7" s="47">
        <v>260</v>
      </c>
      <c r="D7" s="47">
        <v>29.1</v>
      </c>
      <c r="E7" s="47">
        <v>24</v>
      </c>
      <c r="F7" s="47">
        <v>31.8</v>
      </c>
      <c r="G7" s="47">
        <v>13.9</v>
      </c>
      <c r="J7" s="61"/>
    </row>
    <row r="8" spans="1:10" ht="14.25">
      <c r="A8" s="15" t="s">
        <v>113</v>
      </c>
      <c r="B8" s="47">
        <v>14.4</v>
      </c>
      <c r="C8" s="47">
        <v>252</v>
      </c>
      <c r="D8" s="47">
        <v>25.4</v>
      </c>
      <c r="E8" s="47">
        <v>26.5</v>
      </c>
      <c r="F8" s="47">
        <v>30.1</v>
      </c>
      <c r="G8" s="47">
        <v>13.8</v>
      </c>
      <c r="J8" s="61"/>
    </row>
    <row r="9" spans="1:10" ht="14.25">
      <c r="A9" s="15" t="s">
        <v>114</v>
      </c>
      <c r="B9" s="47">
        <v>13</v>
      </c>
      <c r="C9" s="47">
        <v>246</v>
      </c>
      <c r="D9" s="47">
        <v>21.4</v>
      </c>
      <c r="E9" s="47">
        <v>20.6</v>
      </c>
      <c r="F9" s="47">
        <v>24.9</v>
      </c>
      <c r="G9" s="47">
        <v>13.8</v>
      </c>
      <c r="J9" s="61"/>
    </row>
    <row r="10" spans="1:10" ht="14.25">
      <c r="A10" s="15" t="s">
        <v>115</v>
      </c>
      <c r="B10" s="47">
        <v>10.1</v>
      </c>
      <c r="C10" s="47">
        <v>194</v>
      </c>
      <c r="D10" s="47">
        <v>21.7</v>
      </c>
      <c r="E10" s="47">
        <v>16.899999999999999</v>
      </c>
      <c r="F10" s="47">
        <v>22</v>
      </c>
      <c r="G10" s="47">
        <v>11.8</v>
      </c>
      <c r="J10" s="61"/>
    </row>
    <row r="11" spans="1:10" ht="14.25">
      <c r="A11" s="15" t="s">
        <v>116</v>
      </c>
      <c r="B11" s="47">
        <v>8.9499999999999993</v>
      </c>
      <c r="C11" s="47">
        <v>227</v>
      </c>
      <c r="D11" s="47">
        <v>19.600000000000001</v>
      </c>
      <c r="E11" s="47">
        <v>15.6</v>
      </c>
      <c r="F11" s="47">
        <v>19.3</v>
      </c>
      <c r="G11" s="47">
        <v>8.9499999999999993</v>
      </c>
      <c r="J11" s="61"/>
    </row>
    <row r="12" spans="1:10" ht="14.25">
      <c r="A12" s="15" t="s">
        <v>117</v>
      </c>
      <c r="B12" s="47">
        <v>9.4700000000000006</v>
      </c>
      <c r="C12" s="47">
        <v>195</v>
      </c>
      <c r="D12" s="47">
        <v>17.399999999999999</v>
      </c>
      <c r="E12" s="47">
        <v>16.600000000000001</v>
      </c>
      <c r="F12" s="47">
        <v>19.7</v>
      </c>
      <c r="G12" s="47">
        <v>8</v>
      </c>
      <c r="J12" s="61"/>
    </row>
    <row r="13" spans="1:10" ht="14.25">
      <c r="A13" s="15" t="s">
        <v>118</v>
      </c>
      <c r="B13" s="47">
        <v>9.33</v>
      </c>
      <c r="C13" s="47">
        <v>142</v>
      </c>
      <c r="D13" s="47">
        <v>17.2</v>
      </c>
      <c r="E13" s="47">
        <v>17.5</v>
      </c>
      <c r="F13" s="47">
        <v>22.9</v>
      </c>
      <c r="G13" s="47">
        <v>9.5299999999999994</v>
      </c>
      <c r="J13" s="61"/>
    </row>
    <row r="14" spans="1:10" ht="14.25">
      <c r="A14" s="15" t="s">
        <v>119</v>
      </c>
      <c r="B14" s="47">
        <v>8.48</v>
      </c>
      <c r="C14" s="47">
        <v>155</v>
      </c>
      <c r="D14" s="47">
        <v>17.399999999999999</v>
      </c>
      <c r="E14" s="47">
        <v>15.8</v>
      </c>
      <c r="F14" s="47">
        <v>21.5</v>
      </c>
      <c r="G14" s="47">
        <v>9.89</v>
      </c>
      <c r="J14" s="61"/>
    </row>
    <row r="15" spans="1:10" ht="14.25">
      <c r="A15" s="15" t="s">
        <v>120</v>
      </c>
      <c r="B15" s="47">
        <v>8.57</v>
      </c>
      <c r="C15" s="47">
        <v>161</v>
      </c>
      <c r="D15" s="47">
        <v>19.5</v>
      </c>
      <c r="E15" s="47">
        <v>14.8</v>
      </c>
      <c r="F15" s="47">
        <v>20.5</v>
      </c>
      <c r="G15" s="47">
        <v>9.15</v>
      </c>
      <c r="J15" s="61"/>
    </row>
    <row r="16" spans="1:10" ht="14.25">
      <c r="A16" s="15" t="s">
        <v>121</v>
      </c>
      <c r="B16" s="47">
        <v>10.8</v>
      </c>
      <c r="C16" s="47">
        <v>194</v>
      </c>
      <c r="D16" s="47">
        <v>21.3</v>
      </c>
      <c r="E16" s="47">
        <v>18.400000000000002</v>
      </c>
      <c r="F16" s="47">
        <v>21</v>
      </c>
      <c r="G16" s="47">
        <v>11.1</v>
      </c>
      <c r="J16" s="61"/>
    </row>
    <row r="17" spans="1:10" ht="14.25">
      <c r="A17" s="15" t="s">
        <v>122</v>
      </c>
      <c r="B17" s="47">
        <v>13.3</v>
      </c>
      <c r="C17" s="47">
        <v>243</v>
      </c>
      <c r="D17" s="92">
        <v>32.9</v>
      </c>
      <c r="E17" s="47">
        <v>32.9</v>
      </c>
      <c r="F17" s="47">
        <v>24.3</v>
      </c>
      <c r="G17" s="47">
        <v>25.9</v>
      </c>
      <c r="J17" s="61"/>
    </row>
    <row r="18" spans="1:10" ht="14.25">
      <c r="A18" s="15" t="s">
        <v>35</v>
      </c>
      <c r="B18" s="47">
        <v>14.2</v>
      </c>
      <c r="C18" s="92">
        <v>306</v>
      </c>
      <c r="D18" s="47">
        <v>27.8</v>
      </c>
      <c r="E18" s="47">
        <v>29.8</v>
      </c>
      <c r="F18" s="47">
        <v>26.8</v>
      </c>
      <c r="G18" s="92">
        <v>17.5</v>
      </c>
      <c r="H18" s="103"/>
      <c r="J18" s="61"/>
    </row>
    <row r="19" spans="1:10" ht="16.5">
      <c r="A19" s="15" t="s">
        <v>123</v>
      </c>
      <c r="B19" s="47">
        <v>12.4</v>
      </c>
      <c r="C19" s="47">
        <v>223</v>
      </c>
      <c r="D19" s="92">
        <v>21.2</v>
      </c>
      <c r="E19" s="47">
        <v>24.3</v>
      </c>
      <c r="F19" s="47">
        <v>26.9</v>
      </c>
      <c r="G19" s="92">
        <v>12.1</v>
      </c>
      <c r="H19" s="103"/>
      <c r="J19" s="61"/>
    </row>
    <row r="20" spans="1:10" ht="16.5">
      <c r="A20" s="15" t="s">
        <v>124</v>
      </c>
      <c r="B20" s="47">
        <v>10.8</v>
      </c>
      <c r="C20" s="47">
        <v>205</v>
      </c>
      <c r="D20" s="92">
        <v>21.5</v>
      </c>
      <c r="E20" s="47">
        <v>20.6</v>
      </c>
      <c r="F20" s="47">
        <v>26.5</v>
      </c>
      <c r="G20" s="92">
        <v>13.5</v>
      </c>
      <c r="H20" s="103"/>
      <c r="J20" s="61"/>
    </row>
    <row r="21" spans="1:10" ht="14.25">
      <c r="A21" s="15"/>
      <c r="B21" s="133"/>
      <c r="C21" s="48"/>
      <c r="D21" s="49"/>
      <c r="E21" s="49"/>
      <c r="F21" s="48"/>
      <c r="G21" s="50"/>
      <c r="H21" s="41"/>
      <c r="J21" s="61"/>
    </row>
    <row r="22" spans="1:10" ht="15">
      <c r="A22" s="51" t="s">
        <v>35</v>
      </c>
      <c r="B22" s="47"/>
      <c r="C22" s="47"/>
      <c r="D22" s="47"/>
      <c r="E22" s="47"/>
      <c r="F22" s="47"/>
      <c r="G22" s="47"/>
    </row>
    <row r="23" spans="1:10" ht="14.25">
      <c r="A23" s="15" t="s">
        <v>38</v>
      </c>
      <c r="B23" s="92">
        <v>14.2</v>
      </c>
      <c r="C23" s="47">
        <v>316</v>
      </c>
      <c r="D23" s="47">
        <v>32.9</v>
      </c>
      <c r="E23" s="47">
        <v>28.1</v>
      </c>
      <c r="F23" s="47">
        <v>25.6</v>
      </c>
      <c r="G23" s="47">
        <v>18.899999999999999</v>
      </c>
    </row>
    <row r="24" spans="1:10" ht="14.25">
      <c r="A24" s="15" t="s">
        <v>39</v>
      </c>
      <c r="B24" s="47">
        <v>13.5</v>
      </c>
      <c r="C24" s="47">
        <v>340</v>
      </c>
      <c r="D24" s="47">
        <v>29.3</v>
      </c>
      <c r="E24" s="47">
        <v>28.1</v>
      </c>
      <c r="F24" s="47">
        <v>26.400000000000002</v>
      </c>
      <c r="G24" s="47">
        <v>18.600000000000001</v>
      </c>
    </row>
    <row r="25" spans="1:10" ht="14.25">
      <c r="A25" s="15" t="s">
        <v>40</v>
      </c>
      <c r="B25" s="47">
        <v>14</v>
      </c>
      <c r="C25" s="47">
        <v>281</v>
      </c>
      <c r="D25" s="47">
        <v>28.4</v>
      </c>
      <c r="E25" s="47">
        <v>29.2</v>
      </c>
      <c r="F25" s="47">
        <v>28.799999999999997</v>
      </c>
      <c r="G25" s="47">
        <v>19.5</v>
      </c>
    </row>
    <row r="26" spans="1:10" ht="14.25">
      <c r="A26" s="15" t="s">
        <v>42</v>
      </c>
      <c r="B26" s="47">
        <v>14.4</v>
      </c>
      <c r="C26" s="47">
        <v>315</v>
      </c>
      <c r="D26" s="47">
        <v>29.5</v>
      </c>
      <c r="E26" s="47">
        <v>29.2</v>
      </c>
      <c r="F26" s="47">
        <v>24.5</v>
      </c>
      <c r="G26" s="47">
        <v>18.3</v>
      </c>
    </row>
    <row r="27" spans="1:10" ht="14.25">
      <c r="A27" s="15" t="s">
        <v>43</v>
      </c>
      <c r="B27" s="47">
        <v>14.5</v>
      </c>
      <c r="C27" s="47">
        <v>273</v>
      </c>
      <c r="D27" s="47">
        <v>29</v>
      </c>
      <c r="E27" s="47">
        <v>30.1</v>
      </c>
      <c r="F27" s="47">
        <v>27.700000000000003</v>
      </c>
      <c r="G27" s="47">
        <v>17.7</v>
      </c>
    </row>
    <row r="28" spans="1:10" ht="14.25">
      <c r="A28" s="15" t="s">
        <v>44</v>
      </c>
      <c r="B28" s="47">
        <v>15.1</v>
      </c>
      <c r="C28" s="47">
        <v>223</v>
      </c>
      <c r="D28" s="47">
        <v>29.9</v>
      </c>
      <c r="E28" s="47">
        <v>31.7</v>
      </c>
      <c r="F28" s="47">
        <v>27</v>
      </c>
      <c r="G28" s="47">
        <v>15.4</v>
      </c>
    </row>
    <row r="29" spans="1:10" ht="14.25">
      <c r="A29" s="15" t="s">
        <v>46</v>
      </c>
      <c r="B29" s="47">
        <v>14.9</v>
      </c>
      <c r="C29" s="47" t="s">
        <v>79</v>
      </c>
      <c r="D29" s="47">
        <v>27.5</v>
      </c>
      <c r="E29" s="47">
        <v>29.8</v>
      </c>
      <c r="F29" s="47">
        <v>26.700000000000003</v>
      </c>
      <c r="G29" s="47">
        <v>14.8</v>
      </c>
    </row>
    <row r="30" spans="1:10" ht="14.25">
      <c r="A30" s="15" t="s">
        <v>47</v>
      </c>
      <c r="B30" s="47">
        <v>14.9</v>
      </c>
      <c r="C30" s="47" t="s">
        <v>79</v>
      </c>
      <c r="D30" s="47">
        <v>26.9</v>
      </c>
      <c r="E30" s="47">
        <v>26.8</v>
      </c>
      <c r="F30" s="47">
        <v>27.200000000000003</v>
      </c>
      <c r="G30" s="47">
        <v>12.1</v>
      </c>
    </row>
    <row r="31" spans="1:10" ht="14.25">
      <c r="A31" s="15" t="s">
        <v>48</v>
      </c>
      <c r="B31" s="47">
        <v>14.4</v>
      </c>
      <c r="C31" s="47" t="s">
        <v>79</v>
      </c>
      <c r="D31" s="47">
        <v>24.9</v>
      </c>
      <c r="E31" s="47">
        <v>25.2</v>
      </c>
      <c r="F31" s="47">
        <v>27.700000000000003</v>
      </c>
      <c r="G31" s="47">
        <v>12.5</v>
      </c>
    </row>
    <row r="32" spans="1:10" ht="14.25">
      <c r="A32" s="15" t="s">
        <v>50</v>
      </c>
      <c r="B32" s="47">
        <v>14.2</v>
      </c>
      <c r="C32" s="47" t="s">
        <v>79</v>
      </c>
      <c r="D32" s="47">
        <v>23.6</v>
      </c>
      <c r="E32" s="47">
        <v>27.3</v>
      </c>
      <c r="F32" s="47">
        <v>27.900000000000002</v>
      </c>
      <c r="G32" s="47">
        <v>13.1</v>
      </c>
    </row>
    <row r="33" spans="1:12" ht="14.25">
      <c r="A33" s="15" t="s">
        <v>51</v>
      </c>
      <c r="B33" s="47">
        <v>14.7</v>
      </c>
      <c r="C33" s="47" t="s">
        <v>79</v>
      </c>
      <c r="D33" s="47">
        <v>25</v>
      </c>
      <c r="E33" s="141">
        <v>27.2</v>
      </c>
      <c r="F33" s="47">
        <v>27.700000000000003</v>
      </c>
      <c r="G33" s="141">
        <v>11</v>
      </c>
    </row>
    <row r="34" spans="1:12" ht="14.25">
      <c r="A34" s="15" t="s">
        <v>52</v>
      </c>
      <c r="B34" s="47">
        <v>14.1</v>
      </c>
      <c r="C34" s="47">
        <v>219</v>
      </c>
      <c r="D34" s="47">
        <v>23.6</v>
      </c>
      <c r="E34" s="141">
        <v>28.1</v>
      </c>
      <c r="F34" s="47">
        <v>27.1</v>
      </c>
      <c r="G34" s="141">
        <v>11.4</v>
      </c>
    </row>
    <row r="35" spans="1:12" ht="14.25">
      <c r="A35" s="15"/>
      <c r="B35" s="47"/>
      <c r="C35" s="47"/>
      <c r="D35" s="47"/>
      <c r="E35" s="141"/>
      <c r="F35" s="47"/>
      <c r="G35" s="141"/>
    </row>
    <row r="36" spans="1:12" ht="15">
      <c r="A36" s="51" t="s">
        <v>54</v>
      </c>
      <c r="B36" s="47"/>
      <c r="C36" s="47"/>
      <c r="D36" s="47"/>
      <c r="E36" s="141"/>
      <c r="F36" s="47"/>
      <c r="G36" s="141"/>
    </row>
    <row r="37" spans="1:12" ht="14.25">
      <c r="A37" s="15" t="s">
        <v>38</v>
      </c>
      <c r="B37" s="47">
        <v>13.2</v>
      </c>
      <c r="C37" s="47">
        <v>242</v>
      </c>
      <c r="D37" s="47">
        <v>24.2</v>
      </c>
      <c r="E37" s="141">
        <v>25</v>
      </c>
      <c r="F37" s="47">
        <v>26.9</v>
      </c>
      <c r="G37" s="141">
        <v>12</v>
      </c>
      <c r="L37" s="61"/>
    </row>
    <row r="38" spans="1:12" ht="14.25">
      <c r="A38" s="15" t="s">
        <v>39</v>
      </c>
      <c r="B38" s="47">
        <v>12.7</v>
      </c>
      <c r="C38" s="47">
        <v>233</v>
      </c>
      <c r="D38" s="47">
        <v>20</v>
      </c>
      <c r="E38" s="141">
        <v>23.7</v>
      </c>
      <c r="F38" s="47">
        <v>26.7</v>
      </c>
      <c r="G38" s="141">
        <v>13</v>
      </c>
      <c r="L38" s="61"/>
    </row>
    <row r="39" spans="1:12" ht="14.25">
      <c r="A39" s="15" t="s">
        <v>40</v>
      </c>
      <c r="B39" s="47">
        <v>13</v>
      </c>
      <c r="C39" s="47">
        <v>227</v>
      </c>
      <c r="D39" s="47">
        <v>22.6</v>
      </c>
      <c r="E39" s="141">
        <v>25.6</v>
      </c>
      <c r="F39" s="47">
        <v>29.4</v>
      </c>
      <c r="G39" s="141">
        <v>12.2</v>
      </c>
      <c r="L39" s="61"/>
    </row>
    <row r="40" spans="1:12" ht="14.25">
      <c r="A40" s="15" t="s">
        <v>42</v>
      </c>
      <c r="B40" s="47">
        <v>13.1</v>
      </c>
      <c r="C40" s="47">
        <v>209</v>
      </c>
      <c r="D40" s="47">
        <v>24</v>
      </c>
      <c r="E40" s="141">
        <v>23.9</v>
      </c>
      <c r="F40" s="47">
        <v>23.7</v>
      </c>
      <c r="G40" s="141">
        <v>13.4</v>
      </c>
      <c r="L40" s="61"/>
    </row>
    <row r="41" spans="1:12" ht="14.25">
      <c r="A41" s="15" t="s">
        <v>43</v>
      </c>
      <c r="B41" s="47">
        <v>12.8</v>
      </c>
      <c r="C41" s="47">
        <v>174</v>
      </c>
      <c r="D41" s="47">
        <v>21.4</v>
      </c>
      <c r="E41" s="141">
        <v>24.4</v>
      </c>
      <c r="F41" s="47">
        <v>27.1</v>
      </c>
      <c r="G41" s="141">
        <v>12.1</v>
      </c>
      <c r="L41" s="61"/>
    </row>
    <row r="42" spans="1:12" ht="14.25">
      <c r="A42" s="15" t="s">
        <v>44</v>
      </c>
      <c r="B42" s="47">
        <v>11.9</v>
      </c>
      <c r="C42" s="47">
        <v>177</v>
      </c>
      <c r="D42" s="47">
        <v>22.4</v>
      </c>
      <c r="E42" s="141">
        <v>22.8</v>
      </c>
      <c r="F42" s="47">
        <v>26.4</v>
      </c>
      <c r="G42" s="141">
        <v>12.3</v>
      </c>
      <c r="L42" s="61"/>
    </row>
    <row r="43" spans="1:12" ht="14.25">
      <c r="A43" s="15" t="s">
        <v>46</v>
      </c>
      <c r="B43" s="47">
        <v>11.8</v>
      </c>
      <c r="C43" s="47" t="s">
        <v>79</v>
      </c>
      <c r="D43" s="47">
        <v>22.5</v>
      </c>
      <c r="E43" s="141">
        <v>21.6</v>
      </c>
      <c r="F43" s="47">
        <v>27</v>
      </c>
      <c r="G43" s="141">
        <v>11.5</v>
      </c>
      <c r="L43" s="61"/>
    </row>
    <row r="44" spans="1:12" ht="14.25">
      <c r="A44" s="15" t="s">
        <v>47</v>
      </c>
      <c r="B44" s="47">
        <v>11.8</v>
      </c>
      <c r="C44" s="47" t="s">
        <v>79</v>
      </c>
      <c r="D44" s="47">
        <v>20</v>
      </c>
      <c r="E44" s="141">
        <v>21.9</v>
      </c>
      <c r="F44" s="47">
        <v>27.2</v>
      </c>
      <c r="G44" s="141">
        <v>12.1</v>
      </c>
      <c r="L44" s="61"/>
    </row>
    <row r="45" spans="1:12" ht="14.25">
      <c r="A45" s="15" t="s">
        <v>48</v>
      </c>
      <c r="B45" s="47">
        <v>11.9</v>
      </c>
      <c r="C45" s="47" t="s">
        <v>79</v>
      </c>
      <c r="D45" s="47">
        <v>23</v>
      </c>
      <c r="E45" s="141">
        <v>25.1</v>
      </c>
      <c r="F45" s="47">
        <v>26.7</v>
      </c>
      <c r="G45" s="141">
        <v>12.2</v>
      </c>
      <c r="L45" s="61"/>
    </row>
    <row r="46" spans="1:12" s="143" customFormat="1" ht="14.25">
      <c r="A46" s="142" t="s">
        <v>50</v>
      </c>
      <c r="B46" s="141">
        <v>11.8</v>
      </c>
      <c r="C46" s="141" t="s">
        <v>79</v>
      </c>
      <c r="D46" s="47">
        <v>17</v>
      </c>
      <c r="E46" s="141">
        <v>20.6</v>
      </c>
      <c r="F46" s="141">
        <v>26.2</v>
      </c>
      <c r="G46" s="141">
        <v>12</v>
      </c>
      <c r="L46" s="61"/>
    </row>
    <row r="47" spans="1:12" ht="14.25">
      <c r="A47" s="15" t="s">
        <v>51</v>
      </c>
      <c r="B47" s="47">
        <v>11.3</v>
      </c>
      <c r="C47" s="47" t="s">
        <v>79</v>
      </c>
      <c r="D47" s="47">
        <v>20.9</v>
      </c>
      <c r="E47" s="47">
        <v>20.3</v>
      </c>
      <c r="F47" s="47">
        <v>27.3</v>
      </c>
      <c r="G47" s="47">
        <v>12.2</v>
      </c>
      <c r="L47" s="61"/>
    </row>
    <row r="48" spans="1:12" ht="14.25">
      <c r="A48" s="15" t="s">
        <v>52</v>
      </c>
      <c r="B48" s="47">
        <v>10.3</v>
      </c>
      <c r="C48" s="47">
        <v>226</v>
      </c>
      <c r="D48" s="47">
        <v>18</v>
      </c>
      <c r="E48" s="47">
        <v>20</v>
      </c>
      <c r="F48" s="47">
        <v>26.8</v>
      </c>
      <c r="G48" s="47">
        <v>12</v>
      </c>
      <c r="L48" s="61"/>
    </row>
    <row r="49" spans="1:7" ht="16.5">
      <c r="A49" s="69" t="s">
        <v>125</v>
      </c>
      <c r="B49" s="69"/>
      <c r="C49" s="69"/>
      <c r="D49" s="69"/>
      <c r="E49" s="69"/>
      <c r="F49" s="69"/>
      <c r="G49" s="69"/>
    </row>
    <row r="50" spans="1:7" ht="14.25">
      <c r="A50" s="15" t="s">
        <v>126</v>
      </c>
      <c r="B50" s="15"/>
      <c r="C50" s="15"/>
      <c r="D50" s="15"/>
      <c r="E50" s="15"/>
      <c r="F50" s="15"/>
      <c r="G50" s="15"/>
    </row>
    <row r="51" spans="1:7" ht="14.25">
      <c r="A51" s="20" t="s">
        <v>58</v>
      </c>
      <c r="B51" s="36">
        <f>Contents!A18</f>
        <v>45581</v>
      </c>
      <c r="C51" s="15"/>
      <c r="D51" s="15"/>
      <c r="E51" s="15"/>
      <c r="F51" s="15"/>
      <c r="G51" s="15"/>
    </row>
  </sheetData>
  <phoneticPr fontId="50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M72"/>
  <sheetViews>
    <sheetView showGridLines="0" zoomScale="70" zoomScaleNormal="70" workbookViewId="0">
      <pane xSplit="1" ySplit="4" topLeftCell="B5" activePane="bottomRight" state="frozen"/>
      <selection pane="bottomRight" activeCell="B37" sqref="B37:B48"/>
      <selection pane="bottomLeft" activeCell="J33" sqref="J33"/>
      <selection pane="topRight" activeCell="J33" sqref="J33"/>
    </sheetView>
  </sheetViews>
  <sheetFormatPr defaultColWidth="9.28515625" defaultRowHeight="12.75"/>
  <cols>
    <col min="1" max="2" width="11.5703125" customWidth="1"/>
    <col min="3" max="3" width="12.28515625" bestFit="1" customWidth="1"/>
    <col min="4" max="4" width="13.5703125" customWidth="1"/>
    <col min="5" max="5" width="11.5703125" customWidth="1"/>
    <col min="6" max="7" width="13.28515625" customWidth="1"/>
    <col min="8" max="8" width="12" customWidth="1"/>
    <col min="9" max="9" width="13.42578125" customWidth="1"/>
  </cols>
  <sheetData>
    <row r="1" spans="1:13" ht="14.25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3" ht="15.6" customHeight="1">
      <c r="A2" s="52" t="s">
        <v>99</v>
      </c>
      <c r="B2" s="17" t="s">
        <v>127</v>
      </c>
      <c r="C2" s="17" t="s">
        <v>128</v>
      </c>
      <c r="D2" s="17" t="s">
        <v>129</v>
      </c>
      <c r="E2" s="53" t="s">
        <v>130</v>
      </c>
      <c r="F2" s="53" t="s">
        <v>131</v>
      </c>
      <c r="G2" s="17" t="s">
        <v>132</v>
      </c>
      <c r="H2" s="17" t="s">
        <v>133</v>
      </c>
      <c r="I2" s="54" t="s">
        <v>134</v>
      </c>
      <c r="K2" s="17"/>
      <c r="L2" s="17"/>
    </row>
    <row r="3" spans="1:13" ht="15.6" customHeight="1">
      <c r="A3" s="55" t="s">
        <v>106</v>
      </c>
      <c r="B3" s="23" t="s">
        <v>135</v>
      </c>
      <c r="C3" s="23" t="s">
        <v>136</v>
      </c>
      <c r="D3" s="23" t="s">
        <v>137</v>
      </c>
      <c r="E3" s="23" t="s">
        <v>137</v>
      </c>
      <c r="F3" s="23" t="s">
        <v>138</v>
      </c>
      <c r="G3" s="23" t="s">
        <v>139</v>
      </c>
      <c r="H3" s="23"/>
      <c r="I3" s="23" t="s">
        <v>140</v>
      </c>
    </row>
    <row r="4" spans="1:13" ht="14.25">
      <c r="A4" s="56" t="s">
        <v>141</v>
      </c>
      <c r="C4" s="57"/>
      <c r="D4" s="57"/>
      <c r="E4" s="57"/>
      <c r="F4" s="57"/>
      <c r="G4" s="57"/>
      <c r="H4" s="57"/>
      <c r="I4" s="57"/>
    </row>
    <row r="5" spans="1:13" ht="14.25">
      <c r="A5" s="15"/>
      <c r="B5" s="15"/>
      <c r="C5" s="15"/>
      <c r="D5" s="15"/>
      <c r="E5" s="15"/>
      <c r="F5" s="15"/>
      <c r="G5" s="15"/>
      <c r="H5" s="15"/>
      <c r="I5" s="15"/>
      <c r="K5" s="61"/>
    </row>
    <row r="6" spans="1:13" ht="14.25">
      <c r="A6" s="15" t="s">
        <v>111</v>
      </c>
      <c r="B6" s="47">
        <v>53.2</v>
      </c>
      <c r="C6" s="47">
        <v>54.5</v>
      </c>
      <c r="D6" s="47">
        <v>86.12</v>
      </c>
      <c r="E6" s="47">
        <v>58.68</v>
      </c>
      <c r="F6" s="47">
        <v>77.239999999999995</v>
      </c>
      <c r="G6" s="47">
        <v>60.76</v>
      </c>
      <c r="H6" s="47">
        <v>51.52</v>
      </c>
      <c r="I6" s="47">
        <v>51.34</v>
      </c>
      <c r="K6" s="61"/>
      <c r="L6" s="61"/>
      <c r="M6" s="61"/>
    </row>
    <row r="7" spans="1:13" ht="14.25">
      <c r="A7" s="15" t="s">
        <v>112</v>
      </c>
      <c r="B7" s="47">
        <v>51.9</v>
      </c>
      <c r="C7" s="47">
        <v>53.22</v>
      </c>
      <c r="D7" s="47">
        <v>83.2</v>
      </c>
      <c r="E7" s="47">
        <v>57.19</v>
      </c>
      <c r="F7" s="47">
        <v>100.15</v>
      </c>
      <c r="G7" s="47">
        <v>56.09</v>
      </c>
      <c r="H7" s="47">
        <v>48.11</v>
      </c>
      <c r="I7" s="47">
        <v>50.33</v>
      </c>
      <c r="K7" s="61"/>
      <c r="L7" s="61"/>
      <c r="M7" s="61"/>
    </row>
    <row r="8" spans="1:13" ht="14.25">
      <c r="A8" s="15" t="s">
        <v>113</v>
      </c>
      <c r="B8" s="47">
        <v>47.13</v>
      </c>
      <c r="C8" s="47">
        <v>48.6</v>
      </c>
      <c r="D8" s="47">
        <v>65.87</v>
      </c>
      <c r="E8" s="47">
        <v>56.17</v>
      </c>
      <c r="F8" s="47">
        <v>91.83</v>
      </c>
      <c r="G8" s="47">
        <v>46.66</v>
      </c>
      <c r="H8" s="47">
        <v>51.8</v>
      </c>
      <c r="I8" s="47">
        <v>43.24</v>
      </c>
      <c r="K8" s="61"/>
      <c r="L8" s="61"/>
      <c r="M8" s="61"/>
    </row>
    <row r="9" spans="1:13" ht="14.25">
      <c r="A9" s="15" t="s">
        <v>114</v>
      </c>
      <c r="B9" s="47">
        <v>38.229999999999997</v>
      </c>
      <c r="C9" s="47">
        <v>60.66</v>
      </c>
      <c r="D9" s="47">
        <v>59.12</v>
      </c>
      <c r="E9" s="47">
        <v>43.7</v>
      </c>
      <c r="F9" s="47">
        <v>68.23</v>
      </c>
      <c r="G9" s="47">
        <v>39.43</v>
      </c>
      <c r="H9" s="47">
        <v>43.93</v>
      </c>
      <c r="I9" s="47">
        <v>39.76</v>
      </c>
      <c r="K9" s="61"/>
      <c r="L9" s="61"/>
      <c r="M9" s="61"/>
    </row>
    <row r="10" spans="1:13" ht="14.25">
      <c r="A10" s="15" t="s">
        <v>115</v>
      </c>
      <c r="B10" s="47">
        <v>31.6</v>
      </c>
      <c r="C10" s="47">
        <v>45.74</v>
      </c>
      <c r="D10" s="47">
        <v>66.72</v>
      </c>
      <c r="E10" s="47">
        <v>37.81</v>
      </c>
      <c r="F10" s="47">
        <v>57.96</v>
      </c>
      <c r="G10" s="47">
        <v>37.479999999999997</v>
      </c>
      <c r="H10" s="47">
        <v>33.43</v>
      </c>
      <c r="I10" s="47">
        <v>31.36</v>
      </c>
      <c r="K10" s="61"/>
      <c r="L10" s="61"/>
      <c r="M10" s="61"/>
    </row>
    <row r="11" spans="1:13" ht="14.25">
      <c r="A11" s="15" t="s">
        <v>116</v>
      </c>
      <c r="B11" s="47">
        <v>29.86</v>
      </c>
      <c r="C11" s="47">
        <v>45.87</v>
      </c>
      <c r="D11" s="47">
        <v>57.81</v>
      </c>
      <c r="E11" s="47">
        <v>35.270000000000003</v>
      </c>
      <c r="F11" s="47">
        <v>58.26</v>
      </c>
      <c r="G11" s="47">
        <v>39.25</v>
      </c>
      <c r="H11" s="47">
        <v>32.229999999999997</v>
      </c>
      <c r="I11" s="47">
        <v>30.07</v>
      </c>
      <c r="K11" s="61"/>
      <c r="L11" s="61"/>
      <c r="M11" s="61"/>
    </row>
    <row r="12" spans="1:13" ht="14.25">
      <c r="A12" s="15" t="s">
        <v>117</v>
      </c>
      <c r="B12" s="47">
        <v>32.549999999999997</v>
      </c>
      <c r="C12" s="47">
        <v>40.92</v>
      </c>
      <c r="D12" s="47">
        <v>53.54</v>
      </c>
      <c r="E12" s="47">
        <v>38.729999999999997</v>
      </c>
      <c r="F12" s="47">
        <v>66.73</v>
      </c>
      <c r="G12" s="47">
        <v>37.43</v>
      </c>
      <c r="H12" s="47">
        <v>33.07</v>
      </c>
      <c r="I12" s="47">
        <v>34.75</v>
      </c>
      <c r="K12" s="61"/>
      <c r="L12" s="61"/>
      <c r="M12" s="61"/>
    </row>
    <row r="13" spans="1:13" ht="14.25">
      <c r="A13" s="15" t="s">
        <v>118</v>
      </c>
      <c r="B13" s="47">
        <v>30.04</v>
      </c>
      <c r="C13" s="47">
        <v>31.87</v>
      </c>
      <c r="D13" s="47">
        <v>54.57</v>
      </c>
      <c r="E13" s="47">
        <v>38.270000000000003</v>
      </c>
      <c r="F13" s="47">
        <v>66.72</v>
      </c>
      <c r="G13" s="47">
        <v>30.35</v>
      </c>
      <c r="H13" s="47">
        <v>34.159999999999997</v>
      </c>
      <c r="I13" s="47">
        <v>31.21</v>
      </c>
      <c r="K13" s="61"/>
      <c r="L13" s="61"/>
      <c r="M13" s="61"/>
    </row>
    <row r="14" spans="1:13" ht="14.25">
      <c r="A14" s="15" t="s">
        <v>119</v>
      </c>
      <c r="B14" s="47">
        <v>28.26</v>
      </c>
      <c r="C14" s="47">
        <v>35.14</v>
      </c>
      <c r="D14" s="47">
        <v>53.28</v>
      </c>
      <c r="E14" s="47">
        <v>36.090000000000003</v>
      </c>
      <c r="F14" s="47">
        <v>64.72</v>
      </c>
      <c r="G14" s="47">
        <v>26.93</v>
      </c>
      <c r="H14" s="47">
        <v>31.65</v>
      </c>
      <c r="I14" s="47">
        <v>33.11</v>
      </c>
      <c r="K14" s="61"/>
      <c r="L14" s="61"/>
      <c r="M14" s="61"/>
    </row>
    <row r="15" spans="1:13" ht="14.25">
      <c r="A15" s="15" t="s">
        <v>120</v>
      </c>
      <c r="B15" s="47">
        <v>29.65</v>
      </c>
      <c r="C15" s="47">
        <v>40.18</v>
      </c>
      <c r="D15" s="47">
        <v>65.03</v>
      </c>
      <c r="E15" s="47">
        <v>37.869999999999997</v>
      </c>
      <c r="F15" s="47">
        <v>62</v>
      </c>
      <c r="G15" s="47">
        <v>39.47</v>
      </c>
      <c r="H15" s="47">
        <v>35.75</v>
      </c>
      <c r="I15" s="47">
        <v>38.369999999999997</v>
      </c>
      <c r="K15" s="61"/>
      <c r="L15" s="61"/>
      <c r="M15" s="61"/>
    </row>
    <row r="16" spans="1:13" ht="14.25">
      <c r="A16" s="15" t="s">
        <v>121</v>
      </c>
      <c r="B16" s="47">
        <v>56.87</v>
      </c>
      <c r="C16" s="47">
        <v>80.94</v>
      </c>
      <c r="D16" s="47">
        <v>79</v>
      </c>
      <c r="E16" s="47">
        <v>70.459999999999994</v>
      </c>
      <c r="F16" s="47">
        <v>101.4</v>
      </c>
      <c r="G16" s="47">
        <v>53.88</v>
      </c>
      <c r="H16" s="47">
        <v>55.89</v>
      </c>
      <c r="I16" s="47">
        <v>54.98</v>
      </c>
      <c r="K16" s="61"/>
      <c r="L16" s="61"/>
      <c r="M16" s="61"/>
    </row>
    <row r="17" spans="1:13" ht="14.25">
      <c r="A17" s="15" t="s">
        <v>122</v>
      </c>
      <c r="B17" s="47">
        <v>72.98</v>
      </c>
      <c r="C17" s="47">
        <v>107.15</v>
      </c>
      <c r="D17" s="47">
        <v>111.39</v>
      </c>
      <c r="E17" s="47">
        <v>90.52</v>
      </c>
      <c r="F17" s="47">
        <v>107.22</v>
      </c>
      <c r="G17" s="47">
        <v>64.28</v>
      </c>
      <c r="H17" s="47">
        <v>82</v>
      </c>
      <c r="I17" s="47">
        <v>81.84</v>
      </c>
      <c r="K17" s="61"/>
      <c r="L17" s="61"/>
      <c r="M17" s="61"/>
    </row>
    <row r="18" spans="1:13" ht="14.25">
      <c r="A18" s="15" t="s">
        <v>35</v>
      </c>
      <c r="B18" s="47">
        <v>65.260000000000005</v>
      </c>
      <c r="C18" s="47">
        <v>102.53</v>
      </c>
      <c r="D18" s="47">
        <v>80.11</v>
      </c>
      <c r="E18" s="47">
        <v>73.14</v>
      </c>
      <c r="F18" s="47">
        <v>93.52</v>
      </c>
      <c r="G18" s="47">
        <v>61.62</v>
      </c>
      <c r="H18" s="47">
        <v>84.25</v>
      </c>
      <c r="I18" s="47">
        <v>76.95</v>
      </c>
      <c r="K18" s="61"/>
      <c r="L18" s="61"/>
      <c r="M18" s="61"/>
    </row>
    <row r="19" spans="1:13" ht="16.5">
      <c r="A19" s="15" t="s">
        <v>142</v>
      </c>
      <c r="B19" s="47">
        <v>47.28</v>
      </c>
      <c r="C19" s="47">
        <v>78.94</v>
      </c>
      <c r="D19" s="47">
        <v>58.65</v>
      </c>
      <c r="E19" s="47">
        <v>55.48</v>
      </c>
      <c r="F19" s="47">
        <v>80.069999999999993</v>
      </c>
      <c r="G19" s="47" t="s">
        <v>79</v>
      </c>
      <c r="H19" s="47">
        <v>55.041249999999998</v>
      </c>
      <c r="I19" s="47">
        <v>53.968000000000004</v>
      </c>
      <c r="K19" s="61"/>
      <c r="L19" s="61"/>
      <c r="M19" s="61"/>
    </row>
    <row r="20" spans="1:13" ht="16.5">
      <c r="A20" s="15" t="s">
        <v>143</v>
      </c>
      <c r="B20" s="47">
        <v>42</v>
      </c>
      <c r="C20" s="47">
        <v>70</v>
      </c>
      <c r="D20" s="47">
        <v>62</v>
      </c>
      <c r="E20" s="47">
        <v>49</v>
      </c>
      <c r="F20" s="47">
        <v>75</v>
      </c>
      <c r="G20" s="92" t="s">
        <v>79</v>
      </c>
      <c r="H20" s="92">
        <v>51</v>
      </c>
      <c r="I20" s="92">
        <v>46</v>
      </c>
      <c r="K20" s="61"/>
      <c r="L20" s="61"/>
      <c r="M20" s="61"/>
    </row>
    <row r="21" spans="1:13" ht="14.25">
      <c r="A21" s="15"/>
      <c r="B21" s="150"/>
      <c r="C21" s="150"/>
      <c r="D21" s="150"/>
      <c r="E21" s="150"/>
      <c r="F21" s="151"/>
      <c r="G21" s="150"/>
      <c r="H21" s="150"/>
      <c r="I21" s="150"/>
    </row>
    <row r="22" spans="1:13" ht="15">
      <c r="A22" s="30" t="s">
        <v>35</v>
      </c>
      <c r="B22" s="47"/>
      <c r="C22" s="47"/>
      <c r="D22" s="47"/>
      <c r="E22" s="47"/>
      <c r="F22" s="47"/>
      <c r="G22" s="47"/>
      <c r="H22" s="47"/>
      <c r="I22" s="47"/>
    </row>
    <row r="23" spans="1:13" ht="14.25">
      <c r="A23" s="15" t="s">
        <v>39</v>
      </c>
      <c r="B23" s="47">
        <v>72.67</v>
      </c>
      <c r="C23" s="47">
        <v>110.1875</v>
      </c>
      <c r="D23" s="47">
        <v>93.75</v>
      </c>
      <c r="E23" s="47">
        <v>80.125</v>
      </c>
      <c r="F23" s="47">
        <v>107.75</v>
      </c>
      <c r="G23" s="47">
        <v>65.412499999999994</v>
      </c>
      <c r="H23" s="47">
        <v>88</v>
      </c>
      <c r="I23" s="47">
        <v>88.5</v>
      </c>
      <c r="K23" s="61"/>
      <c r="M23" s="61"/>
    </row>
    <row r="24" spans="1:13" ht="14.25">
      <c r="A24" s="15" t="s">
        <v>40</v>
      </c>
      <c r="B24" s="47">
        <v>79.180000000000007</v>
      </c>
      <c r="C24" s="47">
        <v>116.6875</v>
      </c>
      <c r="D24" s="47">
        <v>106</v>
      </c>
      <c r="E24" s="47">
        <v>84.375</v>
      </c>
      <c r="F24" s="47">
        <v>111</v>
      </c>
      <c r="G24" s="47">
        <v>69.67</v>
      </c>
      <c r="H24" s="47" t="s">
        <v>79</v>
      </c>
      <c r="I24" s="47">
        <v>88.5</v>
      </c>
      <c r="K24" s="61"/>
      <c r="M24" s="61"/>
    </row>
    <row r="25" spans="1:13" ht="14.25">
      <c r="A25" s="15" t="s">
        <v>42</v>
      </c>
      <c r="B25" s="47">
        <v>68.14</v>
      </c>
      <c r="C25" s="47">
        <v>105.1</v>
      </c>
      <c r="D25" s="47">
        <v>92.3</v>
      </c>
      <c r="E25" s="47">
        <v>74.05</v>
      </c>
      <c r="F25" s="47">
        <v>101</v>
      </c>
      <c r="G25" s="47">
        <v>60</v>
      </c>
      <c r="H25" s="47" t="s">
        <v>79</v>
      </c>
      <c r="I25" s="47">
        <v>84</v>
      </c>
      <c r="K25" s="61"/>
      <c r="M25" s="61"/>
    </row>
    <row r="26" spans="1:13" ht="14.25">
      <c r="A26" s="15" t="s">
        <v>43</v>
      </c>
      <c r="B26" s="47">
        <v>66</v>
      </c>
      <c r="C26" s="47">
        <v>102.1875</v>
      </c>
      <c r="D26" s="47">
        <v>85.75</v>
      </c>
      <c r="E26" s="47">
        <v>71.1875</v>
      </c>
      <c r="F26" s="47">
        <v>95.375</v>
      </c>
      <c r="G26" s="47">
        <v>61</v>
      </c>
      <c r="H26" s="47">
        <v>87</v>
      </c>
      <c r="I26" s="47">
        <v>76.125</v>
      </c>
      <c r="K26" s="61"/>
      <c r="M26" s="61"/>
    </row>
    <row r="27" spans="1:13" ht="14.25">
      <c r="A27" s="15" t="s">
        <v>44</v>
      </c>
      <c r="B27" s="47">
        <v>63.242500000000007</v>
      </c>
      <c r="C27" s="47">
        <v>100</v>
      </c>
      <c r="D27" s="47">
        <v>81.25</v>
      </c>
      <c r="E27" s="47">
        <v>68.25</v>
      </c>
      <c r="F27" s="47">
        <v>88</v>
      </c>
      <c r="G27" s="47" t="s">
        <v>79</v>
      </c>
      <c r="H27" s="47" t="s">
        <v>79</v>
      </c>
      <c r="I27" s="47">
        <v>63.95</v>
      </c>
      <c r="K27" s="61"/>
      <c r="M27" s="61"/>
    </row>
    <row r="28" spans="1:13" ht="14.25">
      <c r="A28" s="15" t="s">
        <v>46</v>
      </c>
      <c r="B28" s="47">
        <v>58.83</v>
      </c>
      <c r="C28" s="47">
        <v>96.55</v>
      </c>
      <c r="D28" s="47">
        <v>76.599999999999994</v>
      </c>
      <c r="E28" s="47">
        <v>64.599999999999994</v>
      </c>
      <c r="F28" s="47">
        <v>84.4</v>
      </c>
      <c r="G28" s="47" t="s">
        <v>79</v>
      </c>
      <c r="H28" s="47" t="s">
        <v>79</v>
      </c>
      <c r="I28" s="47">
        <v>66.25</v>
      </c>
      <c r="K28" s="61"/>
      <c r="M28" s="61"/>
    </row>
    <row r="29" spans="1:13" ht="14.25">
      <c r="A29" s="15" t="s">
        <v>47</v>
      </c>
      <c r="B29" s="47">
        <v>55.474999999999994</v>
      </c>
      <c r="C29" s="47">
        <v>92.5625</v>
      </c>
      <c r="D29" s="47">
        <v>73</v>
      </c>
      <c r="E29" s="47">
        <v>62.625</v>
      </c>
      <c r="F29" s="47">
        <v>81.75</v>
      </c>
      <c r="G29" s="47" t="s">
        <v>79</v>
      </c>
      <c r="H29" s="47">
        <v>82</v>
      </c>
      <c r="I29" s="47" t="s">
        <v>79</v>
      </c>
      <c r="K29" s="61"/>
      <c r="M29" s="61"/>
    </row>
    <row r="30" spans="1:13" ht="14.25">
      <c r="A30" s="15" t="s">
        <v>48</v>
      </c>
      <c r="B30" s="47">
        <v>52.484999999999999</v>
      </c>
      <c r="C30" s="47">
        <v>91.75</v>
      </c>
      <c r="D30" s="47">
        <v>68.625</v>
      </c>
      <c r="E30" s="47">
        <v>62.125</v>
      </c>
      <c r="F30" s="47">
        <v>85.5</v>
      </c>
      <c r="G30" s="47">
        <v>52</v>
      </c>
      <c r="H30" s="47" t="s">
        <v>79</v>
      </c>
      <c r="I30" s="47" t="s">
        <v>79</v>
      </c>
      <c r="K30" s="61"/>
      <c r="M30" s="61"/>
    </row>
    <row r="31" spans="1:13" ht="14.25">
      <c r="A31" s="15" t="s">
        <v>50</v>
      </c>
      <c r="B31" s="47">
        <v>60.007999999999996</v>
      </c>
      <c r="C31" s="47">
        <v>97.85</v>
      </c>
      <c r="D31" s="47">
        <v>67</v>
      </c>
      <c r="E31" s="47">
        <v>71.849999999999994</v>
      </c>
      <c r="F31" s="47">
        <v>89.6</v>
      </c>
      <c r="G31" s="47" t="s">
        <v>79</v>
      </c>
      <c r="H31" s="47">
        <v>80</v>
      </c>
      <c r="I31" s="47">
        <v>74.59</v>
      </c>
      <c r="K31" s="61"/>
      <c r="M31" s="61"/>
    </row>
    <row r="32" spans="1:13" ht="14.25">
      <c r="A32" s="15" t="s">
        <v>51</v>
      </c>
      <c r="B32" s="47">
        <v>70.887499999999989</v>
      </c>
      <c r="C32" s="47">
        <v>107.75</v>
      </c>
      <c r="D32" s="47">
        <v>73.25</v>
      </c>
      <c r="E32" s="47">
        <v>83</v>
      </c>
      <c r="F32" s="47">
        <v>94.25</v>
      </c>
      <c r="G32" s="47" t="s">
        <v>79</v>
      </c>
      <c r="H32" s="47" t="s">
        <v>79</v>
      </c>
      <c r="I32" s="47">
        <v>74.625</v>
      </c>
      <c r="K32" s="61"/>
      <c r="M32" s="61"/>
    </row>
    <row r="33" spans="1:13" ht="14.25">
      <c r="A33" s="15" t="s">
        <v>52</v>
      </c>
      <c r="B33" s="47">
        <v>70.966999999999999</v>
      </c>
      <c r="C33" s="47">
        <v>108.19</v>
      </c>
      <c r="D33" s="47">
        <v>72.69</v>
      </c>
      <c r="E33" s="47">
        <v>81.69</v>
      </c>
      <c r="F33" s="47">
        <v>95.25</v>
      </c>
      <c r="G33" s="47" t="s">
        <v>79</v>
      </c>
      <c r="H33" s="47" t="s">
        <v>79</v>
      </c>
      <c r="I33" s="47">
        <v>76.7</v>
      </c>
      <c r="K33" s="61"/>
      <c r="M33" s="61"/>
    </row>
    <row r="34" spans="1:13" ht="14.25">
      <c r="A34" s="15" t="s">
        <v>38</v>
      </c>
      <c r="B34" s="47">
        <v>65.227999999999994</v>
      </c>
      <c r="C34" s="47">
        <v>101.5</v>
      </c>
      <c r="D34" s="47">
        <v>71.099999999999994</v>
      </c>
      <c r="E34" s="47">
        <v>73.75</v>
      </c>
      <c r="F34" s="47">
        <v>88.4</v>
      </c>
      <c r="G34" s="47" t="s">
        <v>79</v>
      </c>
      <c r="H34" s="47" t="s">
        <v>79</v>
      </c>
      <c r="I34" s="47">
        <v>76.25</v>
      </c>
      <c r="K34" s="61"/>
      <c r="M34" s="61"/>
    </row>
    <row r="35" spans="1:13" ht="14.25">
      <c r="A35" s="15"/>
      <c r="B35" s="47"/>
      <c r="C35" s="47"/>
      <c r="D35" s="47"/>
      <c r="E35" s="47"/>
      <c r="F35" s="47"/>
      <c r="G35" s="47"/>
      <c r="H35" s="47"/>
      <c r="I35" s="47"/>
      <c r="K35" s="61"/>
      <c r="M35" s="61"/>
    </row>
    <row r="36" spans="1:13" ht="15">
      <c r="A36" s="30" t="s">
        <v>54</v>
      </c>
      <c r="B36" s="47"/>
      <c r="C36" s="47"/>
      <c r="D36" s="47"/>
      <c r="E36" s="47"/>
      <c r="F36" s="47"/>
      <c r="G36" s="47"/>
      <c r="H36" s="47"/>
      <c r="I36" s="47"/>
      <c r="J36" s="103"/>
      <c r="K36" s="61"/>
      <c r="M36" s="61"/>
    </row>
    <row r="37" spans="1:13" ht="14.25">
      <c r="A37" s="15" t="s">
        <v>39</v>
      </c>
      <c r="B37" s="47">
        <v>56.599999999999994</v>
      </c>
      <c r="C37" s="47">
        <v>92</v>
      </c>
      <c r="D37" s="47">
        <v>64.75</v>
      </c>
      <c r="E37" s="47">
        <v>65.1875</v>
      </c>
      <c r="F37" s="47">
        <v>83.25</v>
      </c>
      <c r="G37" s="47" t="s">
        <v>79</v>
      </c>
      <c r="H37" s="92">
        <v>90</v>
      </c>
      <c r="I37" s="47">
        <v>65.17</v>
      </c>
      <c r="J37" s="116"/>
      <c r="K37" s="61"/>
      <c r="M37" s="61"/>
    </row>
    <row r="38" spans="1:13" ht="14.25">
      <c r="A38" s="15" t="s">
        <v>40</v>
      </c>
      <c r="B38" s="47">
        <v>53.39</v>
      </c>
      <c r="C38" s="47">
        <v>86.38</v>
      </c>
      <c r="D38" s="47">
        <v>62.25</v>
      </c>
      <c r="E38" s="47">
        <v>61.63</v>
      </c>
      <c r="F38" s="47">
        <v>81.5</v>
      </c>
      <c r="G38" s="47" t="s">
        <v>79</v>
      </c>
      <c r="H38" s="92" t="s">
        <v>79</v>
      </c>
      <c r="I38" s="47">
        <v>57.024999999999999</v>
      </c>
      <c r="J38" s="116"/>
      <c r="K38" s="61"/>
      <c r="M38" s="61"/>
    </row>
    <row r="39" spans="1:13" ht="14.25">
      <c r="A39" s="15" t="s">
        <v>42</v>
      </c>
      <c r="B39" s="47">
        <v>52.33</v>
      </c>
      <c r="C39" s="47">
        <v>83.1</v>
      </c>
      <c r="D39" s="47">
        <v>58.6</v>
      </c>
      <c r="E39" s="47">
        <v>59.45</v>
      </c>
      <c r="F39" s="47">
        <v>77.8</v>
      </c>
      <c r="G39" s="47" t="s">
        <v>79</v>
      </c>
      <c r="H39" s="92">
        <v>65</v>
      </c>
      <c r="I39" s="47">
        <v>50.67</v>
      </c>
      <c r="J39" s="116"/>
      <c r="K39" s="61"/>
      <c r="M39" s="61"/>
    </row>
    <row r="40" spans="1:13" ht="14.25">
      <c r="A40" s="15" t="s">
        <v>43</v>
      </c>
      <c r="B40" s="47">
        <v>49.1</v>
      </c>
      <c r="C40" s="47">
        <v>79.5</v>
      </c>
      <c r="D40" s="47">
        <v>58.13</v>
      </c>
      <c r="E40" s="47">
        <v>57.25</v>
      </c>
      <c r="F40" s="47">
        <v>76.5</v>
      </c>
      <c r="G40" s="47" t="s">
        <v>79</v>
      </c>
      <c r="H40" s="92" t="s">
        <v>79</v>
      </c>
      <c r="I40" s="47" t="s">
        <v>79</v>
      </c>
      <c r="J40" s="116"/>
      <c r="K40" s="61"/>
      <c r="M40" s="61"/>
    </row>
    <row r="41" spans="1:13" ht="14.25">
      <c r="A41" s="15" t="s">
        <v>44</v>
      </c>
      <c r="B41" s="47">
        <v>47.33</v>
      </c>
      <c r="C41" s="47">
        <v>76.5</v>
      </c>
      <c r="D41" s="47">
        <v>57.38</v>
      </c>
      <c r="E41" s="47">
        <v>53.06</v>
      </c>
      <c r="F41" s="47">
        <v>76.75</v>
      </c>
      <c r="G41" s="47" t="s">
        <v>79</v>
      </c>
      <c r="H41" s="92">
        <v>45.33</v>
      </c>
      <c r="I41" s="47">
        <v>52.5</v>
      </c>
      <c r="J41" s="116"/>
      <c r="K41" s="61"/>
      <c r="M41" s="61"/>
    </row>
    <row r="42" spans="1:13" ht="14.25">
      <c r="A42" s="15" t="s">
        <v>46</v>
      </c>
      <c r="B42" s="47">
        <v>46.57</v>
      </c>
      <c r="C42" s="47">
        <v>79.95</v>
      </c>
      <c r="D42" s="47">
        <v>57.45</v>
      </c>
      <c r="E42" s="47">
        <v>55.55</v>
      </c>
      <c r="F42" s="47">
        <v>76</v>
      </c>
      <c r="G42" s="47" t="s">
        <v>79</v>
      </c>
      <c r="H42" s="92" t="s">
        <v>79</v>
      </c>
      <c r="I42" s="47">
        <v>52</v>
      </c>
      <c r="J42" s="116"/>
      <c r="K42" s="61"/>
      <c r="M42" s="61"/>
    </row>
    <row r="43" spans="1:13" ht="14.25">
      <c r="A43" s="15" t="s">
        <v>47</v>
      </c>
      <c r="B43" s="47">
        <v>45.1325</v>
      </c>
      <c r="C43" s="47">
        <v>77.25</v>
      </c>
      <c r="D43" s="47">
        <v>56.06</v>
      </c>
      <c r="E43" s="47">
        <v>54.38</v>
      </c>
      <c r="F43" s="47">
        <v>75.13</v>
      </c>
      <c r="G43" s="47" t="s">
        <v>79</v>
      </c>
      <c r="H43" s="92">
        <v>41</v>
      </c>
      <c r="I43" s="47">
        <v>52.17</v>
      </c>
      <c r="J43" s="116"/>
      <c r="K43" s="61"/>
      <c r="M43" s="61"/>
    </row>
    <row r="44" spans="1:13" ht="14.25">
      <c r="A44" s="15" t="s">
        <v>48</v>
      </c>
      <c r="B44" s="47">
        <v>43.302</v>
      </c>
      <c r="C44" s="47">
        <v>74.55</v>
      </c>
      <c r="D44" s="47">
        <v>54.6</v>
      </c>
      <c r="E44" s="47">
        <v>52.75</v>
      </c>
      <c r="F44" s="47">
        <v>73.8</v>
      </c>
      <c r="G44" s="47" t="s">
        <v>79</v>
      </c>
      <c r="H44" s="92">
        <v>42</v>
      </c>
      <c r="I44" s="47">
        <v>48.875</v>
      </c>
      <c r="J44" s="116"/>
      <c r="K44" s="61"/>
      <c r="M44" s="61"/>
    </row>
    <row r="45" spans="1:13" ht="14.25">
      <c r="A45" s="15" t="s">
        <v>50</v>
      </c>
      <c r="B45" s="47">
        <v>42.51</v>
      </c>
      <c r="C45" s="47">
        <v>74.38</v>
      </c>
      <c r="D45" s="47">
        <v>58.88</v>
      </c>
      <c r="E45" s="47">
        <v>51.31</v>
      </c>
      <c r="F45" s="47">
        <v>77.5</v>
      </c>
      <c r="G45" s="47" t="s">
        <v>79</v>
      </c>
      <c r="H45" s="92">
        <v>46</v>
      </c>
      <c r="I45" s="47">
        <v>54.1</v>
      </c>
      <c r="J45" s="116"/>
      <c r="K45" s="61"/>
      <c r="M45" s="61"/>
    </row>
    <row r="46" spans="1:13" s="83" customFormat="1" ht="14.25">
      <c r="A46" s="15" t="s">
        <v>51</v>
      </c>
      <c r="B46" s="47">
        <v>45.57</v>
      </c>
      <c r="C46" s="47">
        <v>77.94</v>
      </c>
      <c r="D46" s="47">
        <v>59.69</v>
      </c>
      <c r="E46" s="47">
        <v>54.75</v>
      </c>
      <c r="F46" s="47">
        <v>79</v>
      </c>
      <c r="G46" s="47" t="s">
        <v>79</v>
      </c>
      <c r="H46" s="92">
        <v>55</v>
      </c>
      <c r="I46" s="92">
        <v>54.5</v>
      </c>
      <c r="J46" s="116"/>
      <c r="K46" s="144"/>
      <c r="M46" s="144"/>
    </row>
    <row r="47" spans="1:13" s="83" customFormat="1" ht="14.25">
      <c r="A47" s="15" t="s">
        <v>52</v>
      </c>
      <c r="B47" s="47">
        <v>42.51</v>
      </c>
      <c r="C47" s="47">
        <v>72.95</v>
      </c>
      <c r="D47" s="47">
        <v>58.1</v>
      </c>
      <c r="E47" s="47">
        <v>51.05</v>
      </c>
      <c r="F47" s="47">
        <v>78.8</v>
      </c>
      <c r="G47" s="47" t="s">
        <v>79</v>
      </c>
      <c r="H47" s="92">
        <v>56</v>
      </c>
      <c r="I47" s="92">
        <v>52.67</v>
      </c>
      <c r="J47" s="116"/>
      <c r="K47" s="144"/>
      <c r="M47" s="144"/>
    </row>
    <row r="48" spans="1:13" s="83" customFormat="1" ht="14.25">
      <c r="A48" s="15" t="s">
        <v>38</v>
      </c>
      <c r="B48" s="47">
        <v>43.04</v>
      </c>
      <c r="C48" s="47">
        <v>72.75</v>
      </c>
      <c r="D48" s="47">
        <v>57.9375</v>
      </c>
      <c r="E48" s="47">
        <v>49.4375</v>
      </c>
      <c r="F48" s="47">
        <v>79.25</v>
      </c>
      <c r="G48" s="47" t="s">
        <v>79</v>
      </c>
      <c r="H48" s="92" t="s">
        <v>79</v>
      </c>
      <c r="I48" s="92" t="s">
        <v>79</v>
      </c>
      <c r="J48" s="116"/>
      <c r="K48" s="144"/>
      <c r="M48" s="144"/>
    </row>
    <row r="49" spans="1:9" ht="16.5">
      <c r="A49" s="79" t="s">
        <v>144</v>
      </c>
      <c r="B49" s="111"/>
      <c r="C49" s="111"/>
      <c r="D49" s="111"/>
      <c r="E49" s="111"/>
      <c r="F49" s="111"/>
      <c r="G49" s="111"/>
      <c r="H49" s="111"/>
      <c r="I49" s="112"/>
    </row>
    <row r="50" spans="1:9" ht="16.5">
      <c r="A50" s="15" t="s">
        <v>145</v>
      </c>
      <c r="B50" s="59"/>
      <c r="C50" s="59"/>
      <c r="D50" s="59"/>
      <c r="E50" s="59"/>
      <c r="F50" s="59"/>
      <c r="G50" s="59"/>
      <c r="H50" s="59"/>
      <c r="I50" s="59"/>
    </row>
    <row r="51" spans="1:9" ht="14.25">
      <c r="A51" s="15" t="s">
        <v>146</v>
      </c>
      <c r="B51" s="15"/>
      <c r="C51" s="15"/>
      <c r="D51" s="15"/>
      <c r="E51" s="15"/>
      <c r="F51" s="59"/>
      <c r="G51" s="15"/>
      <c r="H51" s="15"/>
      <c r="I51" s="15"/>
    </row>
    <row r="52" spans="1:9" ht="14.25">
      <c r="A52" s="20" t="s">
        <v>58</v>
      </c>
      <c r="B52" s="36">
        <f>Contents!A18</f>
        <v>45581</v>
      </c>
      <c r="C52" s="15"/>
      <c r="D52" s="15"/>
      <c r="E52" s="15"/>
      <c r="F52" s="15"/>
      <c r="G52" s="15"/>
      <c r="H52" s="15"/>
      <c r="I52" s="15"/>
    </row>
    <row r="53" spans="1:9" ht="15.75">
      <c r="C53" s="60"/>
      <c r="G53" s="60"/>
      <c r="H53" s="60"/>
      <c r="I53" s="60"/>
    </row>
    <row r="54" spans="1:9" ht="15.75">
      <c r="B54" s="61"/>
      <c r="C54" s="61"/>
      <c r="D54" s="61"/>
      <c r="E54" s="61"/>
      <c r="F54" s="61"/>
      <c r="G54" s="61"/>
      <c r="H54" s="60"/>
      <c r="I54" s="60"/>
    </row>
    <row r="55" spans="1:9" ht="15.75">
      <c r="B55" s="85"/>
      <c r="C55" s="85"/>
      <c r="D55" s="85"/>
      <c r="E55" s="85"/>
      <c r="F55" s="85"/>
      <c r="G55" s="85"/>
      <c r="H55" s="60"/>
      <c r="I55" s="60"/>
    </row>
    <row r="56" spans="1:9" ht="15.75">
      <c r="C56" s="60"/>
      <c r="G56" s="60"/>
      <c r="H56" s="60"/>
      <c r="I56" s="60"/>
    </row>
    <row r="57" spans="1:9" ht="15.75">
      <c r="C57" s="60"/>
      <c r="G57" s="60"/>
      <c r="H57" s="60"/>
      <c r="I57" s="60"/>
    </row>
    <row r="58" spans="1:9" ht="15.75">
      <c r="C58" s="60"/>
      <c r="G58" s="60"/>
      <c r="H58" s="60"/>
      <c r="I58" s="60"/>
    </row>
    <row r="59" spans="1:9" ht="15.75">
      <c r="C59" s="60"/>
      <c r="G59" s="60"/>
      <c r="H59" s="60"/>
      <c r="I59" s="60"/>
    </row>
    <row r="60" spans="1:9" ht="15.75">
      <c r="C60" s="60"/>
      <c r="G60" s="60"/>
      <c r="H60" s="60"/>
      <c r="I60" s="60"/>
    </row>
    <row r="61" spans="1:9" ht="15.75">
      <c r="C61" s="60"/>
      <c r="G61" s="60"/>
      <c r="H61" s="60"/>
      <c r="I61" s="60"/>
    </row>
    <row r="62" spans="1:9" ht="15.75">
      <c r="C62" s="60"/>
      <c r="G62" s="60"/>
      <c r="H62" s="60"/>
      <c r="I62" s="60"/>
    </row>
    <row r="63" spans="1:9" ht="15.75">
      <c r="C63" s="60"/>
      <c r="G63" s="60"/>
      <c r="H63" s="60"/>
      <c r="I63" s="60"/>
    </row>
    <row r="64" spans="1:9" ht="15.75">
      <c r="C64" s="60"/>
      <c r="G64" s="60"/>
      <c r="H64" s="60"/>
      <c r="I64" s="60"/>
    </row>
    <row r="65" spans="3:9" ht="15.75">
      <c r="C65" s="60"/>
      <c r="G65" s="60"/>
      <c r="H65" s="60"/>
      <c r="I65" s="60"/>
    </row>
    <row r="66" spans="3:9" ht="15.75">
      <c r="C66" s="60"/>
      <c r="G66" s="60"/>
      <c r="H66" s="60"/>
      <c r="I66" s="60"/>
    </row>
    <row r="67" spans="3:9" ht="15.75">
      <c r="C67" s="60"/>
      <c r="G67" s="60"/>
      <c r="H67" s="60"/>
      <c r="I67" s="60"/>
    </row>
    <row r="68" spans="3:9" ht="15.75">
      <c r="C68" s="60"/>
      <c r="G68" s="60"/>
      <c r="H68" s="60"/>
      <c r="I68" s="60"/>
    </row>
    <row r="69" spans="3:9" ht="15.75">
      <c r="C69" s="60"/>
      <c r="H69" s="60"/>
      <c r="I69" s="60"/>
    </row>
    <row r="70" spans="3:9" ht="15.75">
      <c r="C70" s="60"/>
      <c r="H70" s="60"/>
      <c r="I70" s="60"/>
    </row>
    <row r="71" spans="3:9" ht="15.75">
      <c r="C71" s="60"/>
      <c r="F71" s="61"/>
      <c r="H71" s="60"/>
      <c r="I71" s="60"/>
    </row>
    <row r="72" spans="3:9" ht="15.75">
      <c r="F72" s="61"/>
      <c r="H72" s="60"/>
      <c r="I72" s="60"/>
    </row>
  </sheetData>
  <phoneticPr fontId="50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62"/>
  <sheetViews>
    <sheetView showGridLines="0" zoomScale="70" zoomScaleNormal="70" workbookViewId="0">
      <pane xSplit="1" ySplit="4" topLeftCell="B5" activePane="bottomRight" state="frozen"/>
      <selection pane="bottomRight" activeCell="G37" sqref="G37:G48"/>
      <selection pane="bottomLeft" activeCell="J33" sqref="J33"/>
      <selection pane="topRight" activeCell="J33" sqref="J33"/>
    </sheetView>
  </sheetViews>
  <sheetFormatPr defaultColWidth="9.28515625" defaultRowHeight="12.75"/>
  <cols>
    <col min="1" max="1" width="11.5703125" customWidth="1"/>
    <col min="2" max="7" width="13.5703125" customWidth="1"/>
    <col min="8" max="8" width="12.42578125" bestFit="1" customWidth="1"/>
    <col min="9" max="9" width="11.42578125" customWidth="1"/>
    <col min="11" max="11" width="8.7109375" customWidth="1"/>
    <col min="12" max="12" width="18" bestFit="1" customWidth="1"/>
  </cols>
  <sheetData>
    <row r="1" spans="1:28" ht="14.25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99</v>
      </c>
      <c r="B2" s="17" t="s">
        <v>127</v>
      </c>
      <c r="C2" s="62" t="s">
        <v>128</v>
      </c>
      <c r="D2" s="62" t="s">
        <v>129</v>
      </c>
      <c r="E2" s="62" t="s">
        <v>131</v>
      </c>
      <c r="F2" s="17" t="s">
        <v>147</v>
      </c>
      <c r="G2" s="17" t="s">
        <v>148</v>
      </c>
      <c r="AB2" s="63"/>
    </row>
    <row r="3" spans="1:28" ht="15.6" customHeight="1">
      <c r="A3" s="14" t="s">
        <v>106</v>
      </c>
      <c r="B3" s="23" t="s">
        <v>149</v>
      </c>
      <c r="C3" s="23" t="s">
        <v>150</v>
      </c>
      <c r="D3" s="23" t="s">
        <v>151</v>
      </c>
      <c r="E3" s="23" t="s">
        <v>152</v>
      </c>
      <c r="F3" s="23" t="s">
        <v>153</v>
      </c>
      <c r="G3" s="23" t="s">
        <v>154</v>
      </c>
      <c r="AB3" s="63"/>
    </row>
    <row r="4" spans="1:28" ht="14.25">
      <c r="A4" s="56" t="s">
        <v>155</v>
      </c>
      <c r="C4" s="57"/>
      <c r="D4" s="57"/>
      <c r="E4" s="57"/>
      <c r="F4" s="57"/>
      <c r="G4" s="57"/>
      <c r="AB4" s="63"/>
    </row>
    <row r="5" spans="1:28" ht="14.25">
      <c r="A5" s="15"/>
      <c r="B5" s="15"/>
      <c r="C5" s="15"/>
      <c r="D5" s="15"/>
      <c r="E5" s="15"/>
      <c r="F5" s="15"/>
      <c r="G5" s="15"/>
      <c r="AB5" s="63"/>
    </row>
    <row r="6" spans="1:28" ht="14.25">
      <c r="A6" s="15" t="s">
        <v>111</v>
      </c>
      <c r="B6" s="58">
        <v>345.52</v>
      </c>
      <c r="C6" s="58">
        <v>273.83999999999997</v>
      </c>
      <c r="D6" s="58">
        <v>219.72</v>
      </c>
      <c r="E6" s="50" t="s">
        <v>79</v>
      </c>
      <c r="F6" s="58">
        <v>263.63</v>
      </c>
      <c r="G6" s="58">
        <v>240.65</v>
      </c>
      <c r="H6" s="61"/>
      <c r="I6" s="61"/>
      <c r="J6" s="61"/>
      <c r="AB6" s="63"/>
    </row>
    <row r="7" spans="1:28" ht="14.25">
      <c r="A7" s="15" t="s">
        <v>112</v>
      </c>
      <c r="B7" s="58">
        <v>393.53</v>
      </c>
      <c r="C7" s="58">
        <v>275.13</v>
      </c>
      <c r="D7" s="58">
        <v>246.75</v>
      </c>
      <c r="E7" s="50" t="s">
        <v>79</v>
      </c>
      <c r="F7" s="58">
        <v>307.58999999999997</v>
      </c>
      <c r="G7" s="58">
        <v>265.68</v>
      </c>
      <c r="H7" s="61"/>
      <c r="I7" s="61"/>
      <c r="J7" s="61"/>
      <c r="AB7" s="63"/>
    </row>
    <row r="8" spans="1:28" ht="14.25">
      <c r="A8" s="15" t="s">
        <v>113</v>
      </c>
      <c r="B8" s="58">
        <v>468.11</v>
      </c>
      <c r="C8" s="58">
        <v>331.52</v>
      </c>
      <c r="D8" s="58">
        <v>241.57</v>
      </c>
      <c r="E8" s="50" t="s">
        <v>79</v>
      </c>
      <c r="F8" s="58">
        <v>354.22</v>
      </c>
      <c r="G8" s="58">
        <v>329.31</v>
      </c>
      <c r="H8" s="61"/>
      <c r="I8" s="61"/>
      <c r="J8" s="61"/>
      <c r="AB8" s="63"/>
    </row>
    <row r="9" spans="1:28" ht="14.25">
      <c r="A9" s="15" t="s">
        <v>114</v>
      </c>
      <c r="B9" s="58">
        <v>489.94</v>
      </c>
      <c r="C9" s="58">
        <v>377.71</v>
      </c>
      <c r="D9" s="58">
        <v>238.87</v>
      </c>
      <c r="E9" s="50" t="s">
        <v>79</v>
      </c>
      <c r="F9" s="58">
        <v>359.7</v>
      </c>
      <c r="G9" s="58">
        <v>337.23</v>
      </c>
      <c r="H9" s="61"/>
      <c r="I9" s="61"/>
      <c r="J9" s="61"/>
      <c r="AB9" s="63"/>
    </row>
    <row r="10" spans="1:28" ht="14.25">
      <c r="A10" s="15" t="s">
        <v>115</v>
      </c>
      <c r="B10" s="58">
        <v>368.49</v>
      </c>
      <c r="C10" s="58">
        <v>304.27</v>
      </c>
      <c r="D10" s="58">
        <v>209.97</v>
      </c>
      <c r="E10" s="50" t="s">
        <v>79</v>
      </c>
      <c r="F10" s="58">
        <v>301.2</v>
      </c>
      <c r="G10" s="58">
        <v>256.58</v>
      </c>
      <c r="H10" s="61"/>
      <c r="I10" s="61"/>
      <c r="J10" s="61"/>
      <c r="AB10" s="63"/>
    </row>
    <row r="11" spans="1:28" ht="14.25">
      <c r="A11" s="15" t="s">
        <v>116</v>
      </c>
      <c r="B11" s="58">
        <v>324.56</v>
      </c>
      <c r="C11" s="58">
        <v>261.19</v>
      </c>
      <c r="D11" s="58">
        <v>153.16999999999999</v>
      </c>
      <c r="E11" s="50" t="s">
        <v>79</v>
      </c>
      <c r="F11" s="58">
        <v>262.2</v>
      </c>
      <c r="G11" s="58">
        <v>260.23</v>
      </c>
      <c r="H11" s="61"/>
      <c r="I11" s="61"/>
      <c r="J11" s="61"/>
      <c r="AB11" s="63"/>
    </row>
    <row r="12" spans="1:28" ht="14.25">
      <c r="A12" s="15" t="s">
        <v>117</v>
      </c>
      <c r="B12" s="58">
        <v>316.88</v>
      </c>
      <c r="C12" s="58">
        <v>208.61</v>
      </c>
      <c r="D12" s="58">
        <v>145.1</v>
      </c>
      <c r="E12" s="50" t="s">
        <v>79</v>
      </c>
      <c r="F12" s="58">
        <v>267.94</v>
      </c>
      <c r="G12" s="58">
        <v>282.49</v>
      </c>
      <c r="H12" s="61"/>
      <c r="I12" s="61"/>
      <c r="J12" s="61"/>
      <c r="AB12" s="63"/>
    </row>
    <row r="13" spans="1:28" ht="14.25">
      <c r="A13" s="15" t="s">
        <v>118</v>
      </c>
      <c r="B13" s="58">
        <v>345.02</v>
      </c>
      <c r="C13" s="58">
        <v>260.88</v>
      </c>
      <c r="D13" s="58">
        <v>173.53</v>
      </c>
      <c r="E13" s="50" t="s">
        <v>79</v>
      </c>
      <c r="F13" s="58">
        <v>291.14999999999998</v>
      </c>
      <c r="G13" s="58">
        <v>239.15</v>
      </c>
      <c r="H13" s="61"/>
      <c r="I13" s="61"/>
      <c r="J13" s="61"/>
    </row>
    <row r="14" spans="1:28" ht="14.25">
      <c r="A14" s="15" t="s">
        <v>119</v>
      </c>
      <c r="B14" s="58">
        <v>308.27999999999997</v>
      </c>
      <c r="C14" s="58">
        <v>228.64</v>
      </c>
      <c r="D14" s="58">
        <v>164.16</v>
      </c>
      <c r="E14" s="50" t="s">
        <v>79</v>
      </c>
      <c r="F14" s="58">
        <v>272.38</v>
      </c>
      <c r="G14" s="58">
        <v>225.77</v>
      </c>
      <c r="H14" s="61"/>
      <c r="I14" s="61"/>
      <c r="J14" s="61"/>
    </row>
    <row r="15" spans="1:28" ht="14.25">
      <c r="A15" s="15" t="s">
        <v>120</v>
      </c>
      <c r="B15" s="58">
        <v>299.5</v>
      </c>
      <c r="C15" s="58">
        <v>247.04</v>
      </c>
      <c r="D15" s="58">
        <v>187.7</v>
      </c>
      <c r="E15" s="50" t="s">
        <v>79</v>
      </c>
      <c r="F15" s="58">
        <v>273.99</v>
      </c>
      <c r="G15" s="58">
        <v>245.88</v>
      </c>
      <c r="H15" s="61"/>
      <c r="I15" s="61"/>
      <c r="J15" s="61"/>
    </row>
    <row r="16" spans="1:28" ht="14.25">
      <c r="A16" s="15" t="s">
        <v>121</v>
      </c>
      <c r="B16" s="58">
        <v>392.31</v>
      </c>
      <c r="C16" s="58">
        <v>375.51</v>
      </c>
      <c r="D16" s="89">
        <v>246.22</v>
      </c>
      <c r="E16" s="50" t="s">
        <v>79</v>
      </c>
      <c r="F16" s="58">
        <v>351.87</v>
      </c>
      <c r="G16" s="58">
        <v>288.12</v>
      </c>
      <c r="H16" s="61"/>
      <c r="I16" s="61"/>
      <c r="J16" s="61"/>
    </row>
    <row r="17" spans="1:13" ht="14.25">
      <c r="A17" s="15" t="s">
        <v>122</v>
      </c>
      <c r="B17" s="58">
        <v>439.81</v>
      </c>
      <c r="C17" s="58">
        <v>355.33</v>
      </c>
      <c r="D17" s="58">
        <v>279.98</v>
      </c>
      <c r="E17" s="50" t="s">
        <v>79</v>
      </c>
      <c r="F17" s="58">
        <v>439.1</v>
      </c>
      <c r="G17" s="58">
        <v>332.21</v>
      </c>
      <c r="H17" s="61"/>
      <c r="I17" s="61"/>
      <c r="J17" s="61"/>
    </row>
    <row r="18" spans="1:13" ht="14.25">
      <c r="A18" s="15" t="s">
        <v>35</v>
      </c>
      <c r="B18" s="58">
        <v>451.91</v>
      </c>
      <c r="C18" s="58">
        <v>379.13</v>
      </c>
      <c r="D18" s="58">
        <v>244.34</v>
      </c>
      <c r="E18" s="50" t="s">
        <v>79</v>
      </c>
      <c r="F18" s="58">
        <v>431.34</v>
      </c>
      <c r="G18" s="89">
        <v>359.06</v>
      </c>
      <c r="H18" s="61"/>
      <c r="I18" s="61"/>
      <c r="J18" s="61"/>
    </row>
    <row r="19" spans="1:13" ht="16.5">
      <c r="A19" s="15" t="s">
        <v>142</v>
      </c>
      <c r="B19" s="58">
        <v>384.11</v>
      </c>
      <c r="C19" s="58">
        <v>343.08</v>
      </c>
      <c r="D19" s="58">
        <v>194.19</v>
      </c>
      <c r="E19" s="50" t="s">
        <v>79</v>
      </c>
      <c r="F19" s="58">
        <v>378.31</v>
      </c>
      <c r="G19" s="89">
        <v>297.39368181818185</v>
      </c>
      <c r="H19" s="61"/>
      <c r="I19" s="61"/>
      <c r="J19" s="61"/>
    </row>
    <row r="20" spans="1:13" ht="16.5">
      <c r="A20" s="15" t="s">
        <v>143</v>
      </c>
      <c r="B20" s="58">
        <v>320</v>
      </c>
      <c r="C20" s="58">
        <v>300</v>
      </c>
      <c r="D20" s="58">
        <v>170</v>
      </c>
      <c r="E20" s="50" t="s">
        <v>79</v>
      </c>
      <c r="F20" s="58">
        <v>280</v>
      </c>
      <c r="G20" s="89">
        <v>220</v>
      </c>
      <c r="H20" s="61"/>
      <c r="I20" s="61"/>
      <c r="J20" s="61"/>
    </row>
    <row r="21" spans="1:13" ht="14.25">
      <c r="A21" s="15"/>
      <c r="B21" s="58"/>
      <c r="C21" s="58"/>
      <c r="D21" s="58"/>
      <c r="E21" s="50"/>
      <c r="F21" s="58"/>
      <c r="G21" s="58"/>
      <c r="I21" s="61"/>
      <c r="J21" s="65"/>
      <c r="K21" s="65"/>
      <c r="L21" s="65"/>
      <c r="M21" s="65"/>
    </row>
    <row r="22" spans="1:13" ht="15">
      <c r="A22" s="30" t="s">
        <v>35</v>
      </c>
      <c r="B22" s="89"/>
      <c r="C22" s="58"/>
      <c r="D22" s="58"/>
      <c r="E22" s="50"/>
      <c r="F22" s="58"/>
      <c r="G22" s="58"/>
      <c r="H22" s="47"/>
      <c r="I22" s="61"/>
    </row>
    <row r="23" spans="1:13" ht="14.25">
      <c r="A23" s="15" t="s">
        <v>39</v>
      </c>
      <c r="B23" s="89">
        <v>468.67499999999995</v>
      </c>
      <c r="C23" s="58">
        <v>451.875</v>
      </c>
      <c r="D23" s="58" t="s">
        <v>79</v>
      </c>
      <c r="E23" s="50" t="s">
        <v>79</v>
      </c>
      <c r="F23" s="58">
        <v>409.17499999999995</v>
      </c>
      <c r="G23" s="58" t="s">
        <v>79</v>
      </c>
      <c r="H23" s="47"/>
      <c r="I23" s="61"/>
    </row>
    <row r="24" spans="1:13" ht="14.25">
      <c r="A24" s="15" t="s">
        <v>40</v>
      </c>
      <c r="B24" s="89">
        <v>436.74999999999994</v>
      </c>
      <c r="C24" s="58">
        <v>405</v>
      </c>
      <c r="D24" s="58" t="s">
        <v>79</v>
      </c>
      <c r="E24" s="50" t="s">
        <v>79</v>
      </c>
      <c r="F24" s="58">
        <v>402.99999999999994</v>
      </c>
      <c r="G24" s="58">
        <v>357.5</v>
      </c>
      <c r="H24" s="47"/>
      <c r="I24" s="61"/>
    </row>
    <row r="25" spans="1:13" ht="14.25">
      <c r="A25" s="15" t="s">
        <v>42</v>
      </c>
      <c r="B25" s="89">
        <v>462.85</v>
      </c>
      <c r="C25" s="58">
        <v>390.625</v>
      </c>
      <c r="D25" s="58">
        <v>200</v>
      </c>
      <c r="E25" s="50" t="s">
        <v>79</v>
      </c>
      <c r="F25" s="58">
        <v>437.09999999999997</v>
      </c>
      <c r="G25" s="58">
        <v>368.5</v>
      </c>
      <c r="H25" s="47"/>
      <c r="I25" s="61"/>
    </row>
    <row r="26" spans="1:13" ht="14.25">
      <c r="A26" s="15" t="s">
        <v>43</v>
      </c>
      <c r="B26" s="89">
        <v>482.40000000000003</v>
      </c>
      <c r="C26" s="58">
        <v>386.25</v>
      </c>
      <c r="D26" s="58">
        <v>355</v>
      </c>
      <c r="E26" s="50" t="s">
        <v>79</v>
      </c>
      <c r="F26" s="58">
        <v>474.02500000000003</v>
      </c>
      <c r="G26" s="58">
        <v>397.5</v>
      </c>
      <c r="H26" s="47"/>
      <c r="I26" s="61"/>
    </row>
    <row r="27" spans="1:13" ht="14.25">
      <c r="A27" s="15" t="s">
        <v>44</v>
      </c>
      <c r="B27" s="89">
        <v>500.52499999999998</v>
      </c>
      <c r="C27" s="58">
        <v>392.5</v>
      </c>
      <c r="D27" s="58">
        <v>336.25</v>
      </c>
      <c r="E27" s="50" t="s">
        <v>79</v>
      </c>
      <c r="F27" s="58">
        <v>501.02499999999998</v>
      </c>
      <c r="G27" s="58">
        <v>412.5</v>
      </c>
      <c r="H27" s="47"/>
      <c r="I27" s="61"/>
    </row>
    <row r="28" spans="1:13" ht="14.25">
      <c r="A28" s="15" t="s">
        <v>46</v>
      </c>
      <c r="B28" s="89">
        <v>484.4</v>
      </c>
      <c r="C28" s="58">
        <v>386.25</v>
      </c>
      <c r="D28" s="58">
        <v>308</v>
      </c>
      <c r="E28" s="50" t="s">
        <v>79</v>
      </c>
      <c r="F28" s="58">
        <v>466.6</v>
      </c>
      <c r="G28" s="58">
        <v>380.4</v>
      </c>
      <c r="H28" s="47"/>
      <c r="I28" s="61"/>
    </row>
    <row r="29" spans="1:13" ht="14.25">
      <c r="A29" s="15" t="s">
        <v>47</v>
      </c>
      <c r="B29" s="89">
        <v>457.25</v>
      </c>
      <c r="C29" s="58">
        <v>364.375</v>
      </c>
      <c r="D29" s="58">
        <v>252.5</v>
      </c>
      <c r="E29" s="50" t="s">
        <v>79</v>
      </c>
      <c r="F29" s="58">
        <v>434.75</v>
      </c>
      <c r="G29" s="58">
        <v>352.5</v>
      </c>
      <c r="H29" s="47"/>
      <c r="I29" s="61"/>
    </row>
    <row r="30" spans="1:13" ht="14.25">
      <c r="A30" s="15" t="s">
        <v>48</v>
      </c>
      <c r="B30" s="89">
        <v>423.57499999999999</v>
      </c>
      <c r="C30" s="58">
        <v>370.625</v>
      </c>
      <c r="D30" s="58">
        <v>237.5</v>
      </c>
      <c r="E30" s="50" t="s">
        <v>79</v>
      </c>
      <c r="F30" s="58">
        <v>407.02500000000003</v>
      </c>
      <c r="G30" s="58">
        <v>352.5</v>
      </c>
      <c r="H30" s="47"/>
      <c r="I30" s="61"/>
    </row>
    <row r="31" spans="1:13" ht="14.25">
      <c r="A31" s="15" t="s">
        <v>50</v>
      </c>
      <c r="B31" s="89">
        <v>413.46000000000004</v>
      </c>
      <c r="C31" s="58">
        <v>362.5</v>
      </c>
      <c r="D31" s="58">
        <v>208.00200000000001</v>
      </c>
      <c r="E31" s="50" t="s">
        <v>79</v>
      </c>
      <c r="F31" s="58">
        <v>405.06000000000006</v>
      </c>
      <c r="G31" s="58">
        <v>354</v>
      </c>
      <c r="H31" s="47"/>
      <c r="I31" s="61"/>
    </row>
    <row r="32" spans="1:13" ht="14.25">
      <c r="A32" s="15" t="s">
        <v>51</v>
      </c>
      <c r="B32" s="89">
        <v>443.15</v>
      </c>
      <c r="C32" s="58">
        <v>347.5</v>
      </c>
      <c r="D32" s="58">
        <v>159.16749999999999</v>
      </c>
      <c r="E32" s="50" t="s">
        <v>79</v>
      </c>
      <c r="F32" s="58">
        <v>432.1</v>
      </c>
      <c r="G32" s="58">
        <v>335</v>
      </c>
      <c r="H32" s="47"/>
      <c r="I32" s="61"/>
    </row>
    <row r="33" spans="1:9" ht="14.25">
      <c r="A33" s="15" t="s">
        <v>52</v>
      </c>
      <c r="B33" s="89">
        <v>438.8</v>
      </c>
      <c r="C33" s="58">
        <v>348.33</v>
      </c>
      <c r="D33" s="58">
        <v>185</v>
      </c>
      <c r="E33" s="50" t="s">
        <v>79</v>
      </c>
      <c r="F33" s="58">
        <v>412.9</v>
      </c>
      <c r="G33" s="58">
        <v>321.25</v>
      </c>
      <c r="H33" s="47"/>
      <c r="I33" s="61"/>
    </row>
    <row r="34" spans="1:9" ht="14.25">
      <c r="A34" s="15" t="s">
        <v>38</v>
      </c>
      <c r="B34" s="89">
        <v>411.07</v>
      </c>
      <c r="C34" s="58">
        <v>343.75</v>
      </c>
      <c r="D34" s="58">
        <v>202</v>
      </c>
      <c r="E34" s="50" t="s">
        <v>79</v>
      </c>
      <c r="F34" s="58">
        <v>393.26</v>
      </c>
      <c r="G34" s="58">
        <v>318</v>
      </c>
      <c r="H34" s="47"/>
      <c r="I34" s="61"/>
    </row>
    <row r="35" spans="1:9" ht="14.25">
      <c r="A35" s="15"/>
      <c r="B35" s="89"/>
      <c r="C35" s="58"/>
      <c r="D35" s="58"/>
      <c r="E35" s="50"/>
      <c r="F35" s="58"/>
      <c r="G35" s="58"/>
      <c r="H35" s="47"/>
      <c r="I35" s="61"/>
    </row>
    <row r="36" spans="1:9" ht="15">
      <c r="A36" s="30" t="s">
        <v>54</v>
      </c>
      <c r="B36" s="89"/>
      <c r="C36" s="58"/>
      <c r="D36" s="58"/>
      <c r="E36" s="50"/>
      <c r="F36" s="58"/>
      <c r="G36" s="58"/>
      <c r="H36" s="47"/>
      <c r="I36" s="61"/>
    </row>
    <row r="37" spans="1:9" ht="14.25">
      <c r="A37" s="15" t="s">
        <v>39</v>
      </c>
      <c r="B37" s="89">
        <v>416.16</v>
      </c>
      <c r="C37" s="58">
        <v>348.75</v>
      </c>
      <c r="D37" s="58">
        <v>229.16500000000002</v>
      </c>
      <c r="E37" s="50" t="s">
        <v>79</v>
      </c>
      <c r="F37" s="58">
        <v>407.1</v>
      </c>
      <c r="G37" s="58">
        <v>325</v>
      </c>
      <c r="H37" s="47"/>
      <c r="I37" s="61"/>
    </row>
    <row r="38" spans="1:9" ht="14.25">
      <c r="A38" s="15" t="s">
        <v>40</v>
      </c>
      <c r="B38" s="89">
        <v>464.27</v>
      </c>
      <c r="C38" s="58">
        <v>350</v>
      </c>
      <c r="D38" s="58">
        <v>266.67</v>
      </c>
      <c r="E38" s="50" t="s">
        <v>79</v>
      </c>
      <c r="F38" s="58">
        <v>441.77</v>
      </c>
      <c r="G38" s="89">
        <v>348.33</v>
      </c>
      <c r="H38" s="47"/>
      <c r="I38" s="61"/>
    </row>
    <row r="39" spans="1:9" ht="14.25">
      <c r="A39" s="15" t="s">
        <v>42</v>
      </c>
      <c r="B39" s="89">
        <v>440.6</v>
      </c>
      <c r="C39" s="58">
        <v>358.75</v>
      </c>
      <c r="D39" s="58">
        <v>270</v>
      </c>
      <c r="E39" s="50" t="s">
        <v>79</v>
      </c>
      <c r="F39" s="58">
        <v>395.04999999999995</v>
      </c>
      <c r="G39" s="89">
        <v>365</v>
      </c>
      <c r="H39" s="47"/>
      <c r="I39" s="61"/>
    </row>
    <row r="40" spans="1:9" ht="14.25">
      <c r="A40" s="15" t="s">
        <v>43</v>
      </c>
      <c r="B40" s="89">
        <v>378.4</v>
      </c>
      <c r="C40" s="58">
        <v>352.5</v>
      </c>
      <c r="D40" s="58">
        <v>270</v>
      </c>
      <c r="E40" s="50" t="s">
        <v>79</v>
      </c>
      <c r="F40" s="58">
        <v>349.3</v>
      </c>
      <c r="G40" s="89">
        <v>365</v>
      </c>
      <c r="H40" s="47"/>
      <c r="I40" s="61"/>
    </row>
    <row r="41" spans="1:9" ht="14.25">
      <c r="A41" s="15" t="s">
        <v>44</v>
      </c>
      <c r="B41" s="89">
        <v>363.625</v>
      </c>
      <c r="C41" s="58">
        <v>355</v>
      </c>
      <c r="D41" s="58">
        <v>210</v>
      </c>
      <c r="E41" s="50" t="s">
        <v>79</v>
      </c>
      <c r="F41" s="58">
        <v>357.75</v>
      </c>
      <c r="G41" s="89" t="s">
        <v>79</v>
      </c>
      <c r="H41" s="47"/>
      <c r="I41" s="61"/>
    </row>
    <row r="42" spans="1:9" ht="14.25">
      <c r="A42" s="15" t="s">
        <v>46</v>
      </c>
      <c r="B42" s="89">
        <v>361.75</v>
      </c>
      <c r="C42" s="58">
        <v>343.33</v>
      </c>
      <c r="D42" s="58">
        <v>140</v>
      </c>
      <c r="E42" s="50" t="s">
        <v>79</v>
      </c>
      <c r="F42" s="58">
        <v>348.76</v>
      </c>
      <c r="G42" s="89">
        <v>331</v>
      </c>
      <c r="H42" s="47"/>
      <c r="I42" s="61"/>
    </row>
    <row r="43" spans="1:9" ht="14.25">
      <c r="A43" s="15" t="s">
        <v>47</v>
      </c>
      <c r="B43" s="89">
        <v>357.67500000000001</v>
      </c>
      <c r="C43" s="58">
        <v>333.75</v>
      </c>
      <c r="D43" s="58">
        <v>142.5</v>
      </c>
      <c r="E43" s="50" t="s">
        <v>79</v>
      </c>
      <c r="F43" s="58">
        <v>357.17500000000001</v>
      </c>
      <c r="G43" s="89">
        <v>292.5</v>
      </c>
      <c r="H43" s="47"/>
      <c r="I43" s="61"/>
    </row>
    <row r="44" spans="1:9" ht="14.25">
      <c r="A44" s="15" t="s">
        <v>48</v>
      </c>
      <c r="B44" s="89">
        <v>388.65</v>
      </c>
      <c r="C44" s="58">
        <v>330</v>
      </c>
      <c r="D44" s="58">
        <v>170</v>
      </c>
      <c r="E44" s="50" t="s">
        <v>79</v>
      </c>
      <c r="F44" s="58">
        <v>411.82</v>
      </c>
      <c r="G44" s="89">
        <v>259</v>
      </c>
      <c r="H44" s="47"/>
      <c r="I44" s="61"/>
    </row>
    <row r="45" spans="1:9" ht="14.25">
      <c r="A45" s="15" t="s">
        <v>50</v>
      </c>
      <c r="B45" s="89">
        <v>384.1</v>
      </c>
      <c r="C45" s="58" t="s">
        <v>79</v>
      </c>
      <c r="D45" s="58">
        <v>166.25</v>
      </c>
      <c r="E45" s="50" t="s">
        <v>79</v>
      </c>
      <c r="F45" s="58">
        <v>416.6</v>
      </c>
      <c r="G45" s="89">
        <v>253.54249999999999</v>
      </c>
      <c r="H45" s="47"/>
      <c r="I45" s="61"/>
    </row>
    <row r="46" spans="1:9" ht="14.25">
      <c r="A46" s="15" t="s">
        <v>51</v>
      </c>
      <c r="B46" s="89">
        <v>364.3</v>
      </c>
      <c r="C46" s="58">
        <v>335</v>
      </c>
      <c r="D46" s="58">
        <v>155</v>
      </c>
      <c r="E46" s="50" t="s">
        <v>79</v>
      </c>
      <c r="F46" s="58">
        <v>387.87</v>
      </c>
      <c r="G46" s="89">
        <v>250.833</v>
      </c>
      <c r="H46" s="47"/>
      <c r="I46" s="61"/>
    </row>
    <row r="47" spans="1:9" ht="14.25">
      <c r="A47" s="15" t="s">
        <v>52</v>
      </c>
      <c r="B47" s="89">
        <v>343.4</v>
      </c>
      <c r="C47" s="58" t="s">
        <v>79</v>
      </c>
      <c r="D47" s="58">
        <v>154.5</v>
      </c>
      <c r="E47" s="50" t="s">
        <v>79</v>
      </c>
      <c r="F47" s="58">
        <v>341.42500000000001</v>
      </c>
      <c r="G47" s="89">
        <v>244.5</v>
      </c>
      <c r="H47" s="47"/>
      <c r="I47" s="61"/>
    </row>
    <row r="48" spans="1:9" ht="14.25">
      <c r="A48" s="15" t="s">
        <v>38</v>
      </c>
      <c r="B48" s="89">
        <v>346.33749999999998</v>
      </c>
      <c r="C48" s="58">
        <v>323.75</v>
      </c>
      <c r="D48" s="58">
        <v>156.25</v>
      </c>
      <c r="E48" s="50" t="s">
        <v>79</v>
      </c>
      <c r="F48" s="58">
        <v>325.10000000000002</v>
      </c>
      <c r="G48" s="89">
        <v>236.625</v>
      </c>
      <c r="H48" s="47"/>
      <c r="I48" s="61"/>
    </row>
    <row r="49" spans="1:10" ht="16.5">
      <c r="A49" s="79" t="s">
        <v>156</v>
      </c>
      <c r="B49" s="113"/>
      <c r="C49" s="113"/>
      <c r="D49" s="113"/>
      <c r="E49" s="113"/>
      <c r="F49" s="113"/>
      <c r="G49" s="113"/>
      <c r="I49" s="64"/>
    </row>
    <row r="50" spans="1:10" ht="16.5">
      <c r="A50" s="40" t="s">
        <v>157</v>
      </c>
      <c r="B50" s="66"/>
      <c r="C50" s="66"/>
      <c r="D50" s="66"/>
      <c r="E50" s="66"/>
      <c r="F50" s="66"/>
      <c r="G50" s="66"/>
      <c r="I50" s="64"/>
      <c r="J50" s="64"/>
    </row>
    <row r="51" spans="1:10" ht="14.25">
      <c r="A51" s="15" t="s">
        <v>158</v>
      </c>
      <c r="B51" s="15"/>
      <c r="C51" s="15"/>
      <c r="D51" s="15"/>
      <c r="E51" s="15"/>
      <c r="F51" s="66"/>
      <c r="G51" s="66"/>
      <c r="I51" s="64"/>
      <c r="J51" s="64"/>
    </row>
    <row r="52" spans="1:10" ht="14.25">
      <c r="A52" s="20" t="s">
        <v>58</v>
      </c>
      <c r="B52" s="36">
        <f>Contents!A18</f>
        <v>45581</v>
      </c>
      <c r="C52" s="15"/>
      <c r="D52" s="15"/>
      <c r="E52" s="15"/>
      <c r="F52" s="66"/>
      <c r="G52" s="66"/>
      <c r="I52" s="67"/>
      <c r="J52" s="67"/>
    </row>
    <row r="53" spans="1:10" ht="14.25">
      <c r="F53" s="66"/>
      <c r="G53" s="66"/>
      <c r="I53" s="67"/>
      <c r="J53" s="67"/>
    </row>
    <row r="54" spans="1:10" ht="14.25">
      <c r="B54" s="93"/>
      <c r="F54" s="66"/>
      <c r="G54" s="66"/>
      <c r="I54" s="64"/>
      <c r="J54" s="64"/>
    </row>
    <row r="55" spans="1:10">
      <c r="B55" s="93"/>
      <c r="I55" s="64"/>
      <c r="J55" s="64"/>
    </row>
    <row r="56" spans="1:10">
      <c r="I56" s="64"/>
      <c r="J56" s="64"/>
    </row>
    <row r="57" spans="1:10">
      <c r="B57" s="91"/>
      <c r="I57" s="64"/>
      <c r="J57" s="64"/>
    </row>
    <row r="58" spans="1:10">
      <c r="I58" s="64"/>
      <c r="J58" s="64"/>
    </row>
    <row r="59" spans="1:10">
      <c r="I59" s="64"/>
      <c r="J59" s="64"/>
    </row>
    <row r="61" spans="1:10">
      <c r="I61" s="68"/>
      <c r="J61" s="68"/>
    </row>
    <row r="62" spans="1:10">
      <c r="I62" s="68"/>
      <c r="J62" s="68"/>
    </row>
  </sheetData>
  <phoneticPr fontId="50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26D2-80BB-4E02-904C-4493C0219D76}">
  <dimension ref="A1:D12"/>
  <sheetViews>
    <sheetView tabSelected="1" workbookViewId="0">
      <selection activeCell="C88" sqref="C88"/>
    </sheetView>
  </sheetViews>
  <sheetFormatPr defaultRowHeight="12.75"/>
  <cols>
    <col min="1" max="1" width="18.42578125" customWidth="1"/>
    <col min="2" max="2" width="25.140625" bestFit="1" customWidth="1"/>
    <col min="3" max="3" width="28.85546875" bestFit="1" customWidth="1"/>
    <col min="4" max="4" width="18" bestFit="1" customWidth="1"/>
  </cols>
  <sheetData>
    <row r="1" spans="1:4" ht="15">
      <c r="A1" s="152" t="s">
        <v>159</v>
      </c>
      <c r="B1" s="136" t="s">
        <v>160</v>
      </c>
      <c r="C1" s="136" t="s">
        <v>161</v>
      </c>
      <c r="D1" s="136" t="s">
        <v>162</v>
      </c>
    </row>
    <row r="2" spans="1:4" ht="14.25">
      <c r="A2" s="138" t="s">
        <v>115</v>
      </c>
      <c r="B2">
        <v>1134.5</v>
      </c>
      <c r="C2">
        <v>370.6</v>
      </c>
      <c r="D2">
        <v>2212.3500000000004</v>
      </c>
    </row>
    <row r="3" spans="1:4" ht="14.25">
      <c r="A3" s="138" t="s">
        <v>116</v>
      </c>
      <c r="B3">
        <v>1510</v>
      </c>
      <c r="C3">
        <v>290.39999999999998</v>
      </c>
      <c r="D3">
        <v>2925.0299999999997</v>
      </c>
    </row>
    <row r="4" spans="1:4" ht="14.25">
      <c r="A4" s="138" t="s">
        <v>117</v>
      </c>
      <c r="B4">
        <v>1368.5</v>
      </c>
      <c r="C4">
        <v>163.5</v>
      </c>
      <c r="D4">
        <v>2651.6349999999998</v>
      </c>
    </row>
    <row r="5" spans="1:4" ht="14.25">
      <c r="A5" s="138" t="s">
        <v>118</v>
      </c>
      <c r="B5">
        <v>1168</v>
      </c>
      <c r="C5">
        <v>165.8</v>
      </c>
      <c r="D5">
        <v>2137.75</v>
      </c>
    </row>
    <row r="6" spans="1:4" ht="14.25">
      <c r="A6" s="138" t="s">
        <v>119</v>
      </c>
      <c r="B6">
        <v>1090</v>
      </c>
      <c r="C6">
        <v>123.4</v>
      </c>
      <c r="D6">
        <v>2101.0949999999998</v>
      </c>
    </row>
    <row r="7" spans="1:4" ht="14.25">
      <c r="A7" s="138" t="s">
        <v>120</v>
      </c>
      <c r="B7">
        <v>1128</v>
      </c>
      <c r="C7">
        <v>121.5</v>
      </c>
      <c r="D7">
        <v>1949.5350000000001</v>
      </c>
    </row>
    <row r="8" spans="1:4" ht="14.25">
      <c r="A8" s="138" t="s">
        <v>121</v>
      </c>
      <c r="B8">
        <v>1448.5</v>
      </c>
      <c r="C8">
        <v>213.6</v>
      </c>
      <c r="D8">
        <v>2977.6200000000003</v>
      </c>
    </row>
    <row r="9" spans="1:4" ht="14.25">
      <c r="A9" s="140" t="s">
        <v>122</v>
      </c>
      <c r="B9">
        <v>1137.5</v>
      </c>
      <c r="C9">
        <v>104.3</v>
      </c>
      <c r="D9">
        <v>1899.395</v>
      </c>
    </row>
    <row r="10" spans="1:4" ht="14.25">
      <c r="A10" s="140" t="s">
        <v>35</v>
      </c>
      <c r="B10">
        <v>1471</v>
      </c>
      <c r="C10">
        <v>128.5</v>
      </c>
      <c r="D10">
        <v>2808.5550000000003</v>
      </c>
    </row>
    <row r="11" spans="1:4" ht="14.25">
      <c r="A11" s="140" t="s">
        <v>54</v>
      </c>
      <c r="B11">
        <v>1122.5</v>
      </c>
      <c r="C11">
        <v>141</v>
      </c>
      <c r="D11">
        <v>2257.69</v>
      </c>
    </row>
    <row r="12" spans="1:4" ht="14.25">
      <c r="A12" s="140" t="s">
        <v>163</v>
      </c>
      <c r="B12">
        <v>574.5</v>
      </c>
      <c r="C12">
        <v>116</v>
      </c>
      <c r="D12">
        <v>1304.557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Props1.xml><?xml version="1.0" encoding="utf-8"?>
<ds:datastoreItem xmlns:ds="http://schemas.openxmlformats.org/officeDocument/2006/customXml" ds:itemID="{C71272CC-18D3-4CD6-8D61-867EDCEBF920}"/>
</file>

<file path=customXml/itemProps2.xml><?xml version="1.0" encoding="utf-8"?>
<ds:datastoreItem xmlns:ds="http://schemas.openxmlformats.org/officeDocument/2006/customXml" ds:itemID="{9FA8D954-8A64-4F7C-B553-C236DC8A07F7}"/>
</file>

<file path=customXml/itemProps3.xml><?xml version="1.0" encoding="utf-8"?>
<ds:datastoreItem xmlns:ds="http://schemas.openxmlformats.org/officeDocument/2006/customXml" ds:itemID="{74F9FD27-698A-4259-BC06-6D4A65A05A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USDA, Economic Research Service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 Bryn Swearingen</dc:creator>
  <cp:keywords>oil crops, outlook, soybeans, soybean meal, soybean oil, cottonseed, sunflowerseed, sunflowerseed oil, peanuts, canola, canola oil, supply, disappearance, prices</cp:keywords>
  <dc:description/>
  <cp:lastModifiedBy>Bennett, Lisa - REE-ERS</cp:lastModifiedBy>
  <cp:revision/>
  <dcterms:created xsi:type="dcterms:W3CDTF">2001-11-13T16:22:15Z</dcterms:created>
  <dcterms:modified xsi:type="dcterms:W3CDTF">2024-10-15T20:21:40Z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