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bookViews>
    <workbookView xWindow="0" yWindow="0" windowWidth="25200" windowHeight="11385" tabRatio="633" activeTab="1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1" r:id="rId9"/>
    <sheet name="Oil Crops Chart Gallery Fig 1" sheetId="8" r:id="rId10"/>
    <sheet name="Oil Crops Chart Gallery Fig 2" sheetId="12" r:id="rId11"/>
  </sheets>
  <definedNames>
    <definedName name="_xlnm.Print_Area" localSheetId="1">'Table 1'!$A$1:$N$39</definedName>
    <definedName name="_xlnm.Print_Area" localSheetId="7">'Table 10'!$A$1:$G$39</definedName>
    <definedName name="_xlnm.Print_Area" localSheetId="2">'Table 2'!$A$1:$J$31</definedName>
    <definedName name="_xlnm.Print_Area" localSheetId="3">'Table 3'!$A$1:$M$47</definedName>
    <definedName name="_xlnm.Print_Area" localSheetId="5">'Table 8'!$A$1:$G$37</definedName>
    <definedName name="_xlnm.Print_Area" localSheetId="6">'Table 9'!$A$1:$I$39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F15" i="1" l="1"/>
  <c r="I29" i="9" l="1"/>
  <c r="I28" i="9"/>
  <c r="K29" i="9"/>
  <c r="G29" i="9" s="1"/>
  <c r="K28" i="9"/>
  <c r="G28" i="9" s="1"/>
  <c r="E29" i="9"/>
  <c r="J29" i="9"/>
  <c r="D29" i="9" l="1"/>
  <c r="G33" i="1"/>
  <c r="D27" i="2"/>
  <c r="H27" i="2"/>
  <c r="L33" i="1"/>
  <c r="L29" i="9" l="1"/>
  <c r="L28" i="9"/>
  <c r="J27" i="2"/>
  <c r="J26" i="2"/>
  <c r="J33" i="1"/>
  <c r="J32" i="1"/>
  <c r="C27" i="2"/>
  <c r="C26" i="2"/>
  <c r="F36" i="1" l="1"/>
  <c r="F8" i="1" s="1"/>
  <c r="J31" i="9" l="1"/>
  <c r="H31" i="9"/>
  <c r="D31" i="9"/>
  <c r="C31" i="9"/>
  <c r="B29" i="9"/>
  <c r="H29" i="2"/>
  <c r="D29" i="2"/>
  <c r="C29" i="2"/>
  <c r="B27" i="2"/>
  <c r="E27" i="2" s="1"/>
  <c r="I27" i="2" s="1"/>
  <c r="G27" i="2" s="1"/>
  <c r="J34" i="1"/>
  <c r="J36" i="1" s="1"/>
  <c r="L34" i="1"/>
  <c r="L36" i="1" s="1"/>
  <c r="G34" i="1"/>
  <c r="G36" i="1" l="1"/>
  <c r="E31" i="9"/>
  <c r="E29" i="2"/>
  <c r="I26" i="2"/>
  <c r="G26" i="2" s="1"/>
  <c r="G29" i="2" s="1"/>
  <c r="H26" i="2"/>
  <c r="E26" i="2"/>
  <c r="D26" i="2"/>
  <c r="B26" i="2"/>
  <c r="J28" i="9"/>
  <c r="E28" i="9"/>
  <c r="K31" i="9" s="1"/>
  <c r="D28" i="9"/>
  <c r="G32" i="1"/>
  <c r="L32" i="1"/>
  <c r="K24" i="9"/>
  <c r="E25" i="9"/>
  <c r="K25" i="9"/>
  <c r="G25" i="9"/>
  <c r="H25" i="9"/>
  <c r="G24" i="9"/>
  <c r="I24" i="9"/>
  <c r="J24" i="9"/>
  <c r="L24" i="9"/>
  <c r="B28" i="9"/>
  <c r="E11" i="2"/>
  <c r="E7" i="9"/>
  <c r="K7" i="9"/>
  <c r="G7" i="9"/>
  <c r="I7" i="9"/>
  <c r="L13" i="9"/>
  <c r="B8" i="9"/>
  <c r="B7" i="2"/>
  <c r="E6" i="2"/>
  <c r="I6" i="2"/>
  <c r="G6" i="2"/>
  <c r="J11" i="2"/>
  <c r="B12" i="2"/>
  <c r="H11" i="2"/>
  <c r="D11" i="2"/>
  <c r="C11" i="2"/>
  <c r="I11" i="2"/>
  <c r="G11" i="2"/>
  <c r="D24" i="9"/>
  <c r="D22" i="2"/>
  <c r="H22" i="2"/>
  <c r="G31" i="1"/>
  <c r="L31" i="1"/>
  <c r="L8" i="9"/>
  <c r="B9" i="9"/>
  <c r="E9" i="9"/>
  <c r="K9" i="9" s="1"/>
  <c r="G9" i="9" s="1"/>
  <c r="I9" i="9" s="1"/>
  <c r="J31" i="1"/>
  <c r="J22" i="2"/>
  <c r="J7" i="2"/>
  <c r="B8" i="2"/>
  <c r="E8" i="2"/>
  <c r="I8" i="2"/>
  <c r="G8" i="2"/>
  <c r="C22" i="2"/>
  <c r="C25" i="9"/>
  <c r="C8" i="9"/>
  <c r="E34" i="1"/>
  <c r="H34" i="1" s="1"/>
  <c r="M34" i="1" s="1"/>
  <c r="M36" i="1" s="1"/>
  <c r="J23" i="9"/>
  <c r="D23" i="9"/>
  <c r="H21" i="2"/>
  <c r="D21" i="2"/>
  <c r="L26" i="1"/>
  <c r="G26" i="1"/>
  <c r="L22" i="9"/>
  <c r="B23" i="9"/>
  <c r="L23" i="9"/>
  <c r="B24" i="9"/>
  <c r="E24" i="9"/>
  <c r="J21" i="2"/>
  <c r="B22" i="2"/>
  <c r="C21" i="2"/>
  <c r="J26" i="1"/>
  <c r="N7" i="1"/>
  <c r="E8" i="1" s="1"/>
  <c r="H8" i="1" s="1"/>
  <c r="M8" i="1" s="1"/>
  <c r="K8" i="1" s="1"/>
  <c r="F28" i="1"/>
  <c r="F7" i="1" s="1"/>
  <c r="E27" i="1"/>
  <c r="H27" i="1" s="1"/>
  <c r="M27" i="1" s="1"/>
  <c r="K27" i="1" s="1"/>
  <c r="H20" i="2"/>
  <c r="D20" i="2"/>
  <c r="J22" i="9"/>
  <c r="D22" i="9"/>
  <c r="L25" i="1"/>
  <c r="G25" i="1"/>
  <c r="C20" i="2"/>
  <c r="J19" i="2"/>
  <c r="B20" i="2"/>
  <c r="E20" i="2"/>
  <c r="I20" i="2"/>
  <c r="G20" i="2"/>
  <c r="J20" i="2"/>
  <c r="B21" i="2"/>
  <c r="J25" i="1"/>
  <c r="K47" i="3"/>
  <c r="M46" i="3"/>
  <c r="D8" i="1"/>
  <c r="D19" i="2"/>
  <c r="H19" i="2"/>
  <c r="L24" i="1"/>
  <c r="L27" i="1"/>
  <c r="G24" i="1"/>
  <c r="G27" i="1"/>
  <c r="J21" i="9"/>
  <c r="D21" i="9"/>
  <c r="L21" i="9"/>
  <c r="B22" i="9"/>
  <c r="E22" i="9"/>
  <c r="K22" i="9"/>
  <c r="G22" i="9"/>
  <c r="I22" i="9"/>
  <c r="C19" i="2"/>
  <c r="J24" i="1"/>
  <c r="J27" i="1"/>
  <c r="J15" i="9"/>
  <c r="J14" i="9"/>
  <c r="J13" i="9"/>
  <c r="D15" i="9"/>
  <c r="D14" i="9"/>
  <c r="D13" i="9"/>
  <c r="E13" i="9"/>
  <c r="K13" i="9"/>
  <c r="G13" i="9"/>
  <c r="I13" i="9"/>
  <c r="I25" i="9" s="1"/>
  <c r="J20" i="9"/>
  <c r="D20" i="9"/>
  <c r="H18" i="2"/>
  <c r="H17" i="2"/>
  <c r="H16" i="2"/>
  <c r="H15" i="2"/>
  <c r="H14" i="2"/>
  <c r="H13" i="2"/>
  <c r="H12" i="2"/>
  <c r="D17" i="2"/>
  <c r="D16" i="2"/>
  <c r="D15" i="2"/>
  <c r="D14" i="2"/>
  <c r="D13" i="2"/>
  <c r="D12" i="2"/>
  <c r="D18" i="2"/>
  <c r="L22" i="1"/>
  <c r="L16" i="1"/>
  <c r="L14" i="1"/>
  <c r="L13" i="1"/>
  <c r="L12" i="1"/>
  <c r="L15" i="1"/>
  <c r="G16" i="1"/>
  <c r="G14" i="1"/>
  <c r="G13" i="1"/>
  <c r="G12" i="1"/>
  <c r="G22" i="1"/>
  <c r="L20" i="9"/>
  <c r="B21" i="9"/>
  <c r="C18" i="2"/>
  <c r="J18" i="2"/>
  <c r="B19" i="2"/>
  <c r="B20" i="9"/>
  <c r="E20" i="9"/>
  <c r="K20" i="9"/>
  <c r="G20" i="9"/>
  <c r="I20" i="9"/>
  <c r="J22" i="1"/>
  <c r="E23" i="1"/>
  <c r="D19" i="9"/>
  <c r="J19" i="9"/>
  <c r="G21" i="1"/>
  <c r="L21" i="1"/>
  <c r="L19" i="9"/>
  <c r="J17" i="2"/>
  <c r="B18" i="2"/>
  <c r="C17" i="2"/>
  <c r="J21" i="1"/>
  <c r="D18" i="9"/>
  <c r="J18" i="9"/>
  <c r="G20" i="1"/>
  <c r="G23" i="1"/>
  <c r="L20" i="1"/>
  <c r="L23" i="1"/>
  <c r="E48" i="3"/>
  <c r="H48" i="3"/>
  <c r="N48" i="3"/>
  <c r="L48" i="3" s="1"/>
  <c r="D48" i="3"/>
  <c r="B35" i="3"/>
  <c r="E35" i="3"/>
  <c r="I35" i="3" s="1"/>
  <c r="G35" i="3" s="1"/>
  <c r="B22" i="3"/>
  <c r="E22" i="3"/>
  <c r="I22" i="3" s="1"/>
  <c r="G22" i="3" s="1"/>
  <c r="B9" i="3"/>
  <c r="E9" i="3"/>
  <c r="J9" i="3" s="1"/>
  <c r="I9" i="3" s="1"/>
  <c r="J20" i="1"/>
  <c r="J23" i="1"/>
  <c r="L18" i="9"/>
  <c r="B19" i="9"/>
  <c r="J16" i="2"/>
  <c r="B17" i="2"/>
  <c r="C16" i="2"/>
  <c r="J17" i="9"/>
  <c r="D17" i="9"/>
  <c r="G18" i="1"/>
  <c r="L18" i="1"/>
  <c r="L17" i="9"/>
  <c r="B18" i="9"/>
  <c r="E18" i="9"/>
  <c r="K18" i="9"/>
  <c r="G18" i="9"/>
  <c r="I18" i="9"/>
  <c r="L16" i="9"/>
  <c r="J15" i="2"/>
  <c r="B16" i="2"/>
  <c r="J14" i="2"/>
  <c r="B15" i="2"/>
  <c r="C14" i="2"/>
  <c r="C15" i="2"/>
  <c r="J17" i="1"/>
  <c r="J18" i="1"/>
  <c r="B17" i="9"/>
  <c r="E19" i="1"/>
  <c r="D16" i="9"/>
  <c r="J16" i="9"/>
  <c r="L17" i="1"/>
  <c r="G17" i="1"/>
  <c r="G19" i="1"/>
  <c r="G28" i="1" s="1"/>
  <c r="G7" i="1" s="1"/>
  <c r="H7" i="1" s="1"/>
  <c r="M7" i="1" s="1"/>
  <c r="K7" i="1" s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1" i="6"/>
  <c r="B40" i="5"/>
  <c r="B40" i="4"/>
  <c r="E47" i="3"/>
  <c r="H47" i="3"/>
  <c r="N47" i="3"/>
  <c r="L47" i="3"/>
  <c r="D47" i="3"/>
  <c r="K46" i="3"/>
  <c r="G46" i="3"/>
  <c r="H46" i="3"/>
  <c r="N46" i="3"/>
  <c r="L46" i="3"/>
  <c r="D46" i="3"/>
  <c r="B34" i="3"/>
  <c r="E34" i="3"/>
  <c r="I34" i="3"/>
  <c r="G34" i="3"/>
  <c r="E33" i="3"/>
  <c r="I33" i="3"/>
  <c r="G33" i="3"/>
  <c r="B21" i="3"/>
  <c r="E21" i="3"/>
  <c r="I21" i="3"/>
  <c r="G21" i="3"/>
  <c r="E20" i="3"/>
  <c r="I20" i="3"/>
  <c r="G20" i="3"/>
  <c r="B8" i="3"/>
  <c r="E8" i="3"/>
  <c r="J8" i="3"/>
  <c r="I8" i="3"/>
  <c r="E7" i="3"/>
  <c r="J7" i="3"/>
  <c r="I7" i="3"/>
  <c r="B34" i="9"/>
  <c r="B32" i="2"/>
  <c r="B40" i="1"/>
  <c r="J14" i="1"/>
  <c r="J13" i="1"/>
  <c r="J12" i="1"/>
  <c r="J15" i="1"/>
  <c r="J28" i="1" s="1"/>
  <c r="J7" i="1" s="1"/>
  <c r="G15" i="1"/>
  <c r="H15" i="1"/>
  <c r="M15" i="1" s="1"/>
  <c r="K15" i="1" s="1"/>
  <c r="E7" i="1"/>
  <c r="A5" i="10"/>
  <c r="D6" i="1"/>
  <c r="B52" i="3"/>
  <c r="H6" i="1"/>
  <c r="M6" i="1" s="1"/>
  <c r="K6" i="1" s="1"/>
  <c r="E17" i="9"/>
  <c r="K17" i="9"/>
  <c r="G17" i="9"/>
  <c r="I17" i="9"/>
  <c r="D25" i="9"/>
  <c r="D8" i="9"/>
  <c r="E8" i="9"/>
  <c r="K8" i="9"/>
  <c r="G8" i="9"/>
  <c r="I8" i="9"/>
  <c r="E16" i="9"/>
  <c r="K16" i="9"/>
  <c r="G16" i="9"/>
  <c r="I16" i="9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J8" i="9"/>
  <c r="E23" i="9"/>
  <c r="K23" i="9"/>
  <c r="G23" i="9"/>
  <c r="I23" i="9"/>
  <c r="H23" i="2"/>
  <c r="H7" i="2"/>
  <c r="E16" i="2"/>
  <c r="I16" i="2"/>
  <c r="G16" i="2"/>
  <c r="E22" i="2"/>
  <c r="I22" i="2"/>
  <c r="G22" i="2"/>
  <c r="E19" i="2"/>
  <c r="I19" i="2"/>
  <c r="G19" i="2"/>
  <c r="E15" i="2"/>
  <c r="I15" i="2"/>
  <c r="G15" i="2"/>
  <c r="D23" i="2"/>
  <c r="D7" i="2"/>
  <c r="E14" i="2"/>
  <c r="I14" i="2"/>
  <c r="G14" i="2"/>
  <c r="E21" i="2"/>
  <c r="I21" i="2"/>
  <c r="G21" i="2"/>
  <c r="E17" i="2"/>
  <c r="I17" i="2"/>
  <c r="G17" i="2"/>
  <c r="E18" i="2"/>
  <c r="I18" i="2"/>
  <c r="G18" i="2"/>
  <c r="E13" i="2"/>
  <c r="I13" i="2"/>
  <c r="G13" i="2"/>
  <c r="C23" i="2"/>
  <c r="L19" i="1"/>
  <c r="L28" i="1"/>
  <c r="L7" i="1" s="1"/>
  <c r="H23" i="1"/>
  <c r="M23" i="1"/>
  <c r="K23" i="1" s="1"/>
  <c r="J19" i="1"/>
  <c r="G23" i="2"/>
  <c r="I23" i="2"/>
  <c r="C7" i="2"/>
  <c r="E7" i="2"/>
  <c r="I7" i="2"/>
  <c r="G7" i="2"/>
  <c r="E23" i="2"/>
  <c r="H19" i="1" l="1"/>
  <c r="M19" i="1" s="1"/>
  <c r="K19" i="1" s="1"/>
  <c r="K28" i="1" s="1"/>
  <c r="H28" i="1"/>
  <c r="K34" i="1"/>
  <c r="D7" i="1"/>
  <c r="I29" i="2"/>
  <c r="M28" i="1" l="1"/>
  <c r="I31" i="9"/>
  <c r="G31" i="9"/>
</calcChain>
</file>

<file path=xl/sharedStrings.xml><?xml version="1.0" encoding="utf-8"?>
<sst xmlns="http://schemas.openxmlformats.org/spreadsheetml/2006/main" count="527" uniqueCount="212">
  <si>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</si>
  <si>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</si>
  <si>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</si>
  <si>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</si>
  <si>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</si>
  <si>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</si>
  <si>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</si>
  <si>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</si>
  <si>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</si>
  <si>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</si>
  <si>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</si>
  <si>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</si>
  <si>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</si>
  <si>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</si>
  <si>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</si>
  <si>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</si>
  <si>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</si>
  <si>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</si>
  <si>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</si>
  <si>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</si>
  <si>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</si>
  <si>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</si>
  <si>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</si>
  <si>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</si>
  <si>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</si>
  <si>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</si>
  <si>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</si>
  <si>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</si>
  <si>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</si>
  <si>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</si>
  <si>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</si>
  <si>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</si>
  <si>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</si>
  <si>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</si>
  <si>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</si>
  <si>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</si>
  <si>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</si>
  <si>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</si>
  <si>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</si>
  <si>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</si>
  <si>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</si>
  <si>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</si>
  <si>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</si>
  <si>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</si>
  <si>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</si>
  <si>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</si>
  <si>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</si>
  <si>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</si>
  <si>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</si>
  <si>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</si>
  <si>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</si>
  <si>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</si>
  <si>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</si>
  <si>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>2008/09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</si>
  <si>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</si>
  <si>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</si>
  <si>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</si>
  <si>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</si>
  <si>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</si>
  <si>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</si>
  <si>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</si>
  <si>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</si>
  <si>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</si>
  <si>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</si>
  <si>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</si>
  <si>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</si>
  <si>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</si>
  <si>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</si>
  <si>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</si>
  <si>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</si>
  <si>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</si>
  <si>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</si>
  <si>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</si>
  <si>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</si>
  <si>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</si>
  <si>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</si>
  <si>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</si>
  <si>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</si>
  <si>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</si>
  <si>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</si>
  <si>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</si>
  <si>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</si>
  <si>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</si>
  <si>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</si>
  <si>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</si>
  <si>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</si>
  <si>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</si>
  <si>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</si>
  <si>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</si>
  <si>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</si>
  <si>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</si>
  <si>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</si>
  <si>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</si>
  <si>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</si>
  <si>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</si>
  <si>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>--------------------------------------------------Million bushels--------------------------------------------------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</si>
  <si>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</si>
  <si>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</si>
  <si>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</si>
  <si>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</si>
  <si>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</si>
  <si>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</si>
  <si>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</si>
  <si>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</si>
  <si>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</si>
  <si>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</si>
  <si>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</si>
  <si>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</si>
  <si>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</si>
  <si>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</si>
  <si>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</si>
  <si>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</si>
  <si>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</si>
  <si>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</si>
  <si>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</si>
  <si>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</si>
  <si>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</si>
  <si>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</si>
  <si>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</si>
  <si>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</si>
  <si>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</si>
  <si>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</si>
  <si>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</si>
  <si>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</si>
  <si>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</si>
  <si>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</si>
  <si>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>2016/17</t>
    </r>
    <r>
      <rPr>
        <vertAlign val="superscript"/>
        <sz val="11"/>
        <rFont val="Arial"/>
        <family val="2"/>
      </rPr>
      <t>1</t>
    </r>
  </si>
  <si>
    <r>
      <t>2017/18</t>
    </r>
    <r>
      <rPr>
        <vertAlign val="superscript"/>
        <sz val="11"/>
        <rFont val="Arial"/>
        <family val="2"/>
      </rPr>
      <t>2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</si>
  <si>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</si>
  <si>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</si>
  <si>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</si>
  <si>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</si>
  <si>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</si>
  <si>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</si>
  <si>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</si>
  <si>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</si>
  <si>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</si>
  <si>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</si>
  <si>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</si>
  <si>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</si>
  <si>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</si>
  <si>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</si>
  <si>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</si>
  <si>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</si>
  <si>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</si>
  <si>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</si>
  <si>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</si>
  <si>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</si>
  <si>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</si>
  <si>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</si>
  <si>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</si>
  <si>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</si>
  <si>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</si>
  <si>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</si>
  <si>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</si>
  <si>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</si>
  <si>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</si>
  <si>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</si>
  <si>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</si>
  <si>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</si>
  <si>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</si>
  <si>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</si>
  <si>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</si>
  <si>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</si>
  <si>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</si>
  <si>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</si>
  <si>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</si>
  <si>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28.0-32.0</t>
  </si>
  <si>
    <t>2018/19</t>
  </si>
  <si>
    <t>38.0-42.0</t>
  </si>
  <si>
    <t>26.5-30.5</t>
  </si>
  <si>
    <t>32.0-36.0</t>
  </si>
  <si>
    <t>Total to date</t>
  </si>
  <si>
    <t>Million bushels</t>
  </si>
  <si>
    <t>53.5-57.5</t>
  </si>
  <si>
    <t>65.5-69.5</t>
  </si>
  <si>
    <t>295-335</t>
  </si>
  <si>
    <t>225-265</t>
  </si>
  <si>
    <t>160-200</t>
  </si>
  <si>
    <t>260-300</t>
  </si>
  <si>
    <t>190-230</t>
  </si>
  <si>
    <t>China soybean imports</t>
  </si>
  <si>
    <t>Million metric tons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</si>
  <si>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</si>
  <si>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</si>
  <si>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</si>
  <si>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</si>
  <si>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</si>
  <si>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</si>
  <si>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</si>
  <si>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</si>
  <si>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</si>
  <si>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</si>
  <si>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</si>
  <si>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</si>
  <si>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>soybean stocks</t>
  </si>
  <si>
    <t xml:space="preserve">December 1 U.S. 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</si>
  <si>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</si>
  <si>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t>130-170</t>
  </si>
  <si>
    <t>20.70-22.30</t>
  </si>
  <si>
    <t>9.25-10.25</t>
  </si>
  <si>
    <t>8.10-9.10</t>
  </si>
  <si>
    <t>15.55-17.15</t>
  </si>
  <si>
    <t>16.20-17.80</t>
  </si>
  <si>
    <t>First-quarter</t>
  </si>
  <si>
    <t>total supply</t>
  </si>
  <si>
    <t>total use</t>
  </si>
  <si>
    <t>Sep</t>
  </si>
  <si>
    <t>Oct</t>
  </si>
  <si>
    <t>Nov</t>
  </si>
  <si>
    <t>crush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</si>
  <si>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acre equals 0.404686 hectares. NA: Not available.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</si>
</sst>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3" fontId="5" fillId="0" borderId="0" xfId="0" applyNumberFormat="1" applyFont="1" applyBorder="1" applyAlignme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/>
    <xf numFmtId="2" fontId="2" fillId="0" borderId="0" xfId="10" applyNumberFormat="1" applyFont="1"/>
    <xf numFmtId="0" fontId="5" fillId="0" borderId="0" xfId="10" applyFont="1" applyBorder="1"/>
    <xf numFmtId="167" fontId="2" fillId="0" borderId="0" xfId="10" applyNumberFormat="1" applyBorder="1" applyAlignment="1">
      <alignment wrapText="1"/>
    </xf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43" fontId="13" fillId="0" borderId="0" xfId="1" quotePrefix="1" applyFont="1" applyFill="1" applyBorder="1" applyAlignment="1">
      <alignment horizontal="center"/>
    </xf>
    <xf numFmtId="17" fontId="2" fillId="0" borderId="0" xfId="0" quotePrefix="1" applyNumberFormat="1" applyFont="1"/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172" fontId="1" fillId="0" borderId="0" xfId="0" quotePrefix="1" applyNumberFormat="1" applyFont="1"/>
    <xf numFmtId="0" fontId="1" fillId="0" borderId="0" xfId="0" applyFont="1"/>
    <xf numFmtId="164" fontId="2" fillId="0" borderId="1" xfId="0" applyNumberFormat="1" applyFont="1" applyBorder="1"/>
    <xf numFmtId="168" fontId="17" fillId="0" borderId="0" xfId="0" applyNumberFormat="1" applyFont="1" applyProtection="1"/>
    <xf numFmtId="168" fontId="17" fillId="0" borderId="0" xfId="0" quotePrefix="1" applyNumberFormat="1" applyFont="1" applyProtection="1"/>
    <xf numFmtId="1" fontId="1" fillId="0" borderId="0" xfId="0" applyNumberFormat="1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December U.S. soybean stocks climb</a:t>
            </a:r>
            <a:r>
              <a:rPr lang="en-US" baseline="0"/>
              <a:t> to a record high</a:t>
            </a:r>
            <a:endParaRPr lang="en-US"/>
          </a:p>
        </c:rich>
      </c:tx>
      <c:layout>
        <c:manualLayout>
          <c:xMode val="edge"/>
          <c:yMode val="edge"/>
          <c:x val="3.9951771168928847E-2"/>
          <c:y val="3.80109889452884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Cover!$A$1:$A$2</c:f>
              <c:strCache>
                <c:ptCount val="2"/>
                <c:pt idx="0">
                  <c:v>December 1 U.S. </c:v>
                </c:pt>
                <c:pt idx="1">
                  <c:v>soybean stocks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Cover!$A$4:$A$14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Cover!$B$4:$B$14</c:f>
              <c:numCache>
                <c:formatCode>_(* #,##0_);_(* \(#,##0\);_(* "-"??_);_(@_)</c:formatCode>
                <c:ptCount val="11"/>
                <c:pt idx="0">
                  <c:v>2275.4319999999998</c:v>
                </c:pt>
                <c:pt idx="1">
                  <c:v>2338.5500000000002</c:v>
                </c:pt>
                <c:pt idx="2">
                  <c:v>2278.0839999999998</c:v>
                </c:pt>
                <c:pt idx="3">
                  <c:v>2369.8850000000002</c:v>
                </c:pt>
                <c:pt idx="4">
                  <c:v>1966.1610000000001</c:v>
                </c:pt>
                <c:pt idx="5">
                  <c:v>2153.6210000000001</c:v>
                </c:pt>
                <c:pt idx="6">
                  <c:v>2527.7440000000001</c:v>
                </c:pt>
                <c:pt idx="7">
                  <c:v>2714.0770000000002</c:v>
                </c:pt>
                <c:pt idx="8">
                  <c:v>2899.056</c:v>
                </c:pt>
                <c:pt idx="9">
                  <c:v>3160.6790000000001</c:v>
                </c:pt>
                <c:pt idx="10">
                  <c:v>3736.212</c:v>
                </c:pt>
              </c:numCache>
            </c:numRef>
          </c:val>
        </c:ser>
        <c:ser>
          <c:idx val="0"/>
          <c:order val="2"/>
          <c:tx>
            <c:strRef>
              <c:f>Cover!$C$1:$C$2</c:f>
              <c:strCache>
                <c:ptCount val="2"/>
                <c:pt idx="0">
                  <c:v>First-quarter</c:v>
                </c:pt>
                <c:pt idx="1">
                  <c:v>total use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Cover!$A$4:$A$14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Cover!$C$4:$C$14</c:f>
              <c:numCache>
                <c:formatCode>_(* #,##0_);_(* \(#,##0\);_(* "-"??_);_(@_)</c:formatCode>
                <c:ptCount val="11"/>
                <c:pt idx="0">
                  <c:v>899.36904355380125</c:v>
                </c:pt>
                <c:pt idx="1">
                  <c:v>1163.7500505351309</c:v>
                </c:pt>
                <c:pt idx="2">
                  <c:v>1207.8462416269929</c:v>
                </c:pt>
                <c:pt idx="3">
                  <c:v>945.15112059837202</c:v>
                </c:pt>
                <c:pt idx="4">
                  <c:v>1249.5393493307699</c:v>
                </c:pt>
                <c:pt idx="5">
                  <c:v>1351.4282060411865</c:v>
                </c:pt>
                <c:pt idx="6">
                  <c:v>1499.9435134432808</c:v>
                </c:pt>
                <c:pt idx="7">
                  <c:v>1409.8169477891447</c:v>
                </c:pt>
                <c:pt idx="8">
                  <c:v>1599.6327670991161</c:v>
                </c:pt>
                <c:pt idx="9">
                  <c:v>1558.1708014956098</c:v>
                </c:pt>
                <c:pt idx="10">
                  <c:v>1249.417971830424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762432"/>
        <c:axId val="478765960"/>
      </c:barChart>
      <c:lineChart>
        <c:grouping val="standard"/>
        <c:varyColors val="0"/>
        <c:ser>
          <c:idx val="2"/>
          <c:order val="0"/>
          <c:tx>
            <c:strRef>
              <c:f>Cover!$D$1:$D$2</c:f>
              <c:strCache>
                <c:ptCount val="2"/>
                <c:pt idx="0">
                  <c:v>First-quarter</c:v>
                </c:pt>
                <c:pt idx="1">
                  <c:v>total supply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Cover!$A$4:$A$14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Cover!$D$4:$D$14</c:f>
              <c:numCache>
                <c:formatCode>_(* #,##0_);_(* \(#,##0\);_(* "-"??_);_(@_)</c:formatCode>
                <c:ptCount val="11"/>
                <c:pt idx="0">
                  <c:v>3174.8010435538013</c:v>
                </c:pt>
                <c:pt idx="1">
                  <c:v>3502.3000505351306</c:v>
                </c:pt>
                <c:pt idx="2">
                  <c:v>3485.9302416269929</c:v>
                </c:pt>
                <c:pt idx="3">
                  <c:v>3315.0361205983722</c:v>
                </c:pt>
                <c:pt idx="4">
                  <c:v>3215.7003493307698</c:v>
                </c:pt>
                <c:pt idx="5">
                  <c:v>3505.0492060411866</c:v>
                </c:pt>
                <c:pt idx="6">
                  <c:v>4027.6875134432807</c:v>
                </c:pt>
                <c:pt idx="7">
                  <c:v>4123.8939477891445</c:v>
                </c:pt>
                <c:pt idx="8">
                  <c:v>4498.6887670991164</c:v>
                </c:pt>
                <c:pt idx="9">
                  <c:v>4718.8498014956094</c:v>
                </c:pt>
                <c:pt idx="10">
                  <c:v>4985.6299718304235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62432"/>
        <c:axId val="478765960"/>
      </c:lineChart>
      <c:catAx>
        <c:axId val="47876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Sources: USDA, National Agricultural Statistics Service, 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 Stocks 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and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Crop Production. </a:t>
                </a:r>
              </a:p>
            </c:rich>
          </c:tx>
          <c:layout>
            <c:manualLayout>
              <c:xMode val="edge"/>
              <c:yMode val="edge"/>
              <c:x val="4.1945746441960634E-2"/>
              <c:y val="0.9229023251364650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65960"/>
        <c:crosses val="autoZero"/>
        <c:auto val="1"/>
        <c:lblAlgn val="ctr"/>
        <c:lblOffset val="100"/>
        <c:noMultiLvlLbl val="0"/>
      </c:catAx>
      <c:valAx>
        <c:axId val="478765960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1681689714930392E-2"/>
              <c:y val="0.1233072004828029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62432"/>
        <c:crosses val="autoZero"/>
        <c:crossBetween val="between"/>
        <c:majorUnit val="1000"/>
        <c:minorUnit val="200"/>
      </c:valAx>
      <c:spPr>
        <a:ln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113804998895079"/>
          <c:y val="0.1995039022184083"/>
          <c:w val="0.29732252449241481"/>
          <c:h val="0.131183421659921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Cumulative</a:t>
            </a:r>
            <a:r>
              <a:rPr lang="en-US" baseline="0"/>
              <a:t> d</a:t>
            </a:r>
            <a:r>
              <a:rPr lang="en-US"/>
              <a:t>omestic soybean crush for 2018/19 sets a strong early pace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2.4326613176066693E-2"/>
          <c:y val="4.05219469517529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Chart Gallery Fig 1'!$B$2</c:f>
              <c:strCache>
                <c:ptCount val="1"/>
                <c:pt idx="0">
                  <c:v>2015/16</c:v>
                </c:pt>
              </c:strCache>
            </c:strRef>
          </c:tx>
          <c:marker>
            <c:symbol val="none"/>
          </c:marker>
          <c:cat>
            <c:strRef>
              <c:f>'Oil Crops Chart Gallery Fig 1'!$A$4:$A$6</c:f>
              <c:strCache>
                <c:ptCount val="3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</c:strCache>
            </c:strRef>
          </c:cat>
          <c:val>
            <c:numRef>
              <c:f>'Oil Crops Chart Gallery Fig 1'!$B$4:$B$6</c:f>
              <c:numCache>
                <c:formatCode>0.0</c:formatCode>
                <c:ptCount val="3"/>
                <c:pt idx="0">
                  <c:v>134.56320000000002</c:v>
                </c:pt>
                <c:pt idx="1">
                  <c:v>304.69686666666672</c:v>
                </c:pt>
                <c:pt idx="2">
                  <c:v>470.4813333333334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2016/17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'Oil Crops Chart Gallery Fig 1'!$A$4:$A$6</c:f>
              <c:strCache>
                <c:ptCount val="3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</c:strCache>
            </c:strRef>
          </c:cat>
          <c:val>
            <c:numRef>
              <c:f>'Oil Crops Chart Gallery Fig 1'!$C$4:$C$6</c:f>
              <c:numCache>
                <c:formatCode>0.0</c:formatCode>
                <c:ptCount val="3"/>
                <c:pt idx="0">
                  <c:v>138.26693333333333</c:v>
                </c:pt>
                <c:pt idx="1">
                  <c:v>314.14743333333337</c:v>
                </c:pt>
                <c:pt idx="2">
                  <c:v>484.88203333333331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2017/18</c:v>
                </c:pt>
              </c:strCache>
            </c:strRef>
          </c:tx>
          <c:marker>
            <c:symbol val="none"/>
          </c:marker>
          <c:cat>
            <c:strRef>
              <c:f>'Oil Crops Chart Gallery Fig 1'!$A$4:$A$6</c:f>
              <c:strCache>
                <c:ptCount val="3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</c:strCache>
            </c:strRef>
          </c:cat>
          <c:val>
            <c:numRef>
              <c:f>'Oil Crops Chart Gallery Fig 1'!$D$4:$D$6</c:f>
              <c:numCache>
                <c:formatCode>0.0</c:formatCode>
                <c:ptCount val="3"/>
                <c:pt idx="0">
                  <c:v>145.37356666666668</c:v>
                </c:pt>
                <c:pt idx="1">
                  <c:v>321.28680000000003</c:v>
                </c:pt>
                <c:pt idx="2">
                  <c:v>494.6355333333334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1'!$E$2</c:f>
              <c:strCache>
                <c:ptCount val="1"/>
                <c:pt idx="0">
                  <c:v>2018/19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1'!$A$4:$A$6</c:f>
              <c:strCache>
                <c:ptCount val="3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</c:strCache>
            </c:strRef>
          </c:cat>
          <c:val>
            <c:numRef>
              <c:f>'Oil Crops Chart Gallery Fig 1'!$E$4:$E$6</c:f>
              <c:numCache>
                <c:formatCode>0.0</c:formatCode>
                <c:ptCount val="3"/>
                <c:pt idx="0">
                  <c:v>169.25106666666667</c:v>
                </c:pt>
                <c:pt idx="1">
                  <c:v>352.80950000000001</c:v>
                </c:pt>
                <c:pt idx="2">
                  <c:v>530.91126666666662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66352"/>
        <c:axId val="478767920"/>
      </c:lineChart>
      <c:catAx>
        <c:axId val="47876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 USDA, National Agricultural Statistics Service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Oilseed Crushings, Production, Consumption, and Stocks.</a:t>
                </a:r>
              </a:p>
            </c:rich>
          </c:tx>
          <c:layout>
            <c:manualLayout>
              <c:xMode val="edge"/>
              <c:yMode val="edge"/>
              <c:x val="4.1945889735289198E-2"/>
              <c:y val="0.9288620020058469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67920"/>
        <c:crosses val="autoZero"/>
        <c:auto val="1"/>
        <c:lblAlgn val="ctr"/>
        <c:lblOffset val="100"/>
        <c:noMultiLvlLbl val="0"/>
      </c:catAx>
      <c:valAx>
        <c:axId val="478767920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bushels</a:t>
                </a:r>
              </a:p>
            </c:rich>
          </c:tx>
          <c:layout>
            <c:manualLayout>
              <c:xMode val="edge"/>
              <c:yMode val="edge"/>
              <c:x val="2.6313813894023083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66352"/>
        <c:crosses val="autoZero"/>
        <c:crossBetween val="between"/>
        <c:majorUnit val="100"/>
        <c:minorUnit val="20"/>
      </c:valAx>
      <c:spPr>
        <a:ln>
          <a:solidFill>
            <a:prstClr val="black"/>
          </a:solidFill>
        </a:ln>
      </c:spPr>
    </c:plotArea>
    <c:legend>
      <c:legendPos val="t"/>
      <c:layout>
        <c:manualLayout>
          <c:xMode val="edge"/>
          <c:yMode val="edge"/>
          <c:x val="0.10754502362916983"/>
          <c:y val="0.20596205962059622"/>
          <c:w val="0.11770347919324435"/>
          <c:h val="0.158599587740682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Current pace of China soybean imports ebbs to a 5-year low </a:t>
            </a:r>
          </a:p>
        </c:rich>
      </c:tx>
      <c:layout>
        <c:manualLayout>
          <c:xMode val="edge"/>
          <c:yMode val="edge"/>
          <c:x val="4.5455296200150083E-2"/>
          <c:y val="3.80109599270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lineChart>
        <c:grouping val="standard"/>
        <c:varyColors val="0"/>
        <c:ser>
          <c:idx val="1"/>
          <c:order val="0"/>
          <c:tx>
            <c:strRef>
              <c:f>'Oil Crops Chart Gallery Fig 2'!$B$2</c:f>
              <c:strCache>
                <c:ptCount val="1"/>
                <c:pt idx="0">
                  <c:v>2014/15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2'!$B$5:$B$16</c:f>
              <c:numCache>
                <c:formatCode>0.0</c:formatCode>
                <c:ptCount val="12"/>
                <c:pt idx="0">
                  <c:v>4.1000140680000001</c:v>
                </c:pt>
                <c:pt idx="1">
                  <c:v>10.126455067999999</c:v>
                </c:pt>
                <c:pt idx="2">
                  <c:v>18.653279068</c:v>
                </c:pt>
                <c:pt idx="3">
                  <c:v>25.529117067999998</c:v>
                </c:pt>
                <c:pt idx="4">
                  <c:v>29.792531067999999</c:v>
                </c:pt>
                <c:pt idx="5">
                  <c:v>34.285569067999994</c:v>
                </c:pt>
                <c:pt idx="6">
                  <c:v>39.593993067999996</c:v>
                </c:pt>
                <c:pt idx="7">
                  <c:v>45.720968067999998</c:v>
                </c:pt>
                <c:pt idx="8">
                  <c:v>53.808058068000001</c:v>
                </c:pt>
                <c:pt idx="9">
                  <c:v>63.308071067999997</c:v>
                </c:pt>
                <c:pt idx="10">
                  <c:v>71.091601068000003</c:v>
                </c:pt>
                <c:pt idx="11">
                  <c:v>78.351601068000008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'Oil Crops Chart Gallery Fig 2'!$C$2</c:f>
              <c:strCache>
                <c:ptCount val="1"/>
                <c:pt idx="0">
                  <c:v>2015/16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2'!$C$5:$C$16</c:f>
              <c:numCache>
                <c:formatCode>0.0</c:formatCode>
                <c:ptCount val="12"/>
                <c:pt idx="0">
                  <c:v>5.5316960000000002</c:v>
                </c:pt>
                <c:pt idx="1">
                  <c:v>12.925146</c:v>
                </c:pt>
                <c:pt idx="2">
                  <c:v>22.044989999999999</c:v>
                </c:pt>
                <c:pt idx="3">
                  <c:v>27.701886999999999</c:v>
                </c:pt>
                <c:pt idx="4">
                  <c:v>32.209654999999998</c:v>
                </c:pt>
                <c:pt idx="5">
                  <c:v>38.307186999999999</c:v>
                </c:pt>
                <c:pt idx="6">
                  <c:v>45.378322999999995</c:v>
                </c:pt>
                <c:pt idx="7">
                  <c:v>53.042496999999997</c:v>
                </c:pt>
                <c:pt idx="8">
                  <c:v>60.607301999999997</c:v>
                </c:pt>
                <c:pt idx="9">
                  <c:v>68.365087999999986</c:v>
                </c:pt>
                <c:pt idx="10">
                  <c:v>76.036188999999979</c:v>
                </c:pt>
                <c:pt idx="11">
                  <c:v>83.229946999999981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'Oil Crops Chart Gallery Fig 2'!$D$2</c:f>
              <c:strCache>
                <c:ptCount val="1"/>
                <c:pt idx="0">
                  <c:v>2016/17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2'!$D$5:$D$16</c:f>
              <c:numCache>
                <c:formatCode>0.0</c:formatCode>
                <c:ptCount val="12"/>
                <c:pt idx="0">
                  <c:v>5.2137219999999997</c:v>
                </c:pt>
                <c:pt idx="1">
                  <c:v>13.049132999999999</c:v>
                </c:pt>
                <c:pt idx="2">
                  <c:v>22.045214000000001</c:v>
                </c:pt>
                <c:pt idx="3">
                  <c:v>29.700275999999999</c:v>
                </c:pt>
                <c:pt idx="4">
                  <c:v>35.238046000000004</c:v>
                </c:pt>
                <c:pt idx="5">
                  <c:v>41.564675367000007</c:v>
                </c:pt>
                <c:pt idx="6">
                  <c:v>49.580133367000002</c:v>
                </c:pt>
                <c:pt idx="7">
                  <c:v>59.166722367000006</c:v>
                </c:pt>
                <c:pt idx="8">
                  <c:v>66.853371366999994</c:v>
                </c:pt>
                <c:pt idx="9">
                  <c:v>76.934266367000006</c:v>
                </c:pt>
                <c:pt idx="10">
                  <c:v>85.381984367000001</c:v>
                </c:pt>
                <c:pt idx="11">
                  <c:v>93.494661366999992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2'!$E$2</c:f>
              <c:strCache>
                <c:ptCount val="1"/>
                <c:pt idx="0">
                  <c:v>2017/18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2'!$E$5:$E$16</c:f>
              <c:numCache>
                <c:formatCode>0.0</c:formatCode>
                <c:ptCount val="12"/>
                <c:pt idx="0">
                  <c:v>5.8560649999999992</c:v>
                </c:pt>
                <c:pt idx="1">
                  <c:v>14.540244999999999</c:v>
                </c:pt>
                <c:pt idx="2">
                  <c:v>24.087054999999999</c:v>
                </c:pt>
                <c:pt idx="3">
                  <c:v>32.567891000000003</c:v>
                </c:pt>
                <c:pt idx="4">
                  <c:v>37.992125999999999</c:v>
                </c:pt>
                <c:pt idx="5">
                  <c:v>43.653874999999999</c:v>
                </c:pt>
                <c:pt idx="6">
                  <c:v>50.574323999999997</c:v>
                </c:pt>
                <c:pt idx="7">
                  <c:v>60.260664000000006</c:v>
                </c:pt>
                <c:pt idx="8">
                  <c:v>68.958973999999998</c:v>
                </c:pt>
                <c:pt idx="9">
                  <c:v>76.933338000000006</c:v>
                </c:pt>
                <c:pt idx="10">
                  <c:v>86.083678000000006</c:v>
                </c:pt>
                <c:pt idx="11">
                  <c:v>94.094958000000005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'Oil Crops Chart Gallery Fig 2'!$F$2</c:f>
              <c:strCache>
                <c:ptCount val="1"/>
                <c:pt idx="0">
                  <c:v>2018/19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2'!$F$5:$F$16</c:f>
              <c:numCache>
                <c:formatCode>0.0</c:formatCode>
                <c:ptCount val="12"/>
                <c:pt idx="0">
                  <c:v>6.9201170000000003</c:v>
                </c:pt>
                <c:pt idx="1">
                  <c:v>12.304363</c:v>
                </c:pt>
                <c:pt idx="2">
                  <c:v>18.025120999999999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63608"/>
        <c:axId val="478764784"/>
      </c:lineChart>
      <c:catAx>
        <c:axId val="47876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China customs data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91955075383E-2"/>
              <c:y val="0.92886194664997423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64784"/>
        <c:crosses val="autoZero"/>
        <c:auto val="0"/>
        <c:lblAlgn val="ctr"/>
        <c:lblOffset val="100"/>
        <c:noMultiLvlLbl val="0"/>
      </c:catAx>
      <c:valAx>
        <c:axId val="4787647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533896327254578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63608"/>
        <c:crosses val="autoZero"/>
        <c:crossBetween val="between"/>
        <c:majorUnit val="20"/>
        <c:minorUnit val="5"/>
      </c:valAx>
      <c:spPr>
        <a:ln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11659561993232766"/>
          <c:y val="0.21746998598671563"/>
          <c:w val="0.10817799494546418"/>
          <c:h val="0.215536843231611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193675</xdr:colOff>
      <xdr:row>0</xdr:row>
      <xdr:rowOff>25400</xdr:rowOff>
    </xdr:from>
    <xdr:to>
      <xdr:col>14</xdr:col>
      <xdr:colOff>546100</xdr:colOff>
      <xdr:row>25</xdr:row>
      <xdr:rowOff>139700</xdr:rowOff>
    </xdr:to>
    <xdr:graphicFrame macro="">
      <xdr:nvGraphicFramePr>
        <xdr:cNvPr id="20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47625</xdr:rowOff>
    </xdr:from>
    <xdr:to>
      <xdr:col>15</xdr:col>
      <xdr:colOff>523875</xdr:colOff>
      <xdr:row>26</xdr:row>
      <xdr:rowOff>9525</xdr:rowOff>
    </xdr:to>
    <xdr:graphicFrame macro="">
      <xdr:nvGraphicFramePr>
        <xdr:cNvPr id="307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0</xdr:row>
      <xdr:rowOff>38100</xdr:rowOff>
    </xdr:from>
    <xdr:to>
      <xdr:col>16</xdr:col>
      <xdr:colOff>437284</xdr:colOff>
      <xdr:row>25</xdr:row>
      <xdr:rowOff>142875</xdr:rowOff>
    </xdr:to>
    <xdr:graphicFrame macro="">
      <xdr:nvGraphicFramePr>
        <xdr:cNvPr id="410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workbookViewId="0">
      <selection activeCell="A2" sqref="A2"/>
    </sheetView>
  </sheetViews>
  <sheetFormatPr defaultColWidth="9.7109375" defaultRowHeight="12.75" x14ac:dyDescent="0.2"/>
  <cols>
    <col min="1" max="1" width="64.7109375" style="31" customWidth="1"/>
    <col min="2" max="16384" width="9.7109375" style="23"/>
  </cols>
  <sheetData>
    <row r="1" spans="1:3" ht="44.25" customHeight="1" x14ac:dyDescent="0.2">
      <c r="A1" s="22"/>
    </row>
    <row r="2" spans="1:3" ht="18" x14ac:dyDescent="0.25">
      <c r="A2" s="24" t="s">
        <v>122</v>
      </c>
    </row>
    <row r="3" spans="1:3" s="26" customFormat="1" ht="11.25" x14ac:dyDescent="0.2">
      <c r="A3" s="25"/>
    </row>
    <row r="4" spans="1:3" x14ac:dyDescent="0.2">
      <c r="A4" s="27" t="s">
        <v>123</v>
      </c>
    </row>
    <row r="5" spans="1:3" x14ac:dyDescent="0.2">
      <c r="A5" s="35">
        <f ca="1">TODAY()</f>
        <v>43508</v>
      </c>
      <c r="B5" s="28"/>
    </row>
    <row r="6" spans="1:3" s="26" customFormat="1" x14ac:dyDescent="0.2">
      <c r="A6" s="25"/>
      <c r="B6" s="28"/>
      <c r="C6" s="29"/>
    </row>
    <row r="7" spans="1:3" x14ac:dyDescent="0.2">
      <c r="A7" s="34" t="s">
        <v>73</v>
      </c>
      <c r="B7" s="30"/>
      <c r="C7" s="26"/>
    </row>
    <row r="8" spans="1:3" x14ac:dyDescent="0.2">
      <c r="A8" s="34" t="s">
        <v>23</v>
      </c>
      <c r="B8" s="32"/>
    </row>
    <row r="9" spans="1:3" x14ac:dyDescent="0.2">
      <c r="A9" s="34" t="s">
        <v>25</v>
      </c>
      <c r="B9" s="32"/>
    </row>
    <row r="10" spans="1:3" x14ac:dyDescent="0.2">
      <c r="A10" s="34" t="s">
        <v>11</v>
      </c>
      <c r="B10" s="32"/>
    </row>
    <row r="11" spans="1:3" x14ac:dyDescent="0.2">
      <c r="A11" s="34" t="s">
        <v>12</v>
      </c>
      <c r="B11" s="32"/>
    </row>
    <row r="12" spans="1:3" x14ac:dyDescent="0.2">
      <c r="A12" s="34" t="s">
        <v>13</v>
      </c>
      <c r="B12" s="32"/>
    </row>
    <row r="13" spans="1:3" x14ac:dyDescent="0.2">
      <c r="A13" s="34" t="s">
        <v>14</v>
      </c>
      <c r="B13" s="32"/>
    </row>
    <row r="14" spans="1:3" x14ac:dyDescent="0.2">
      <c r="A14" s="34" t="s">
        <v>51</v>
      </c>
      <c r="B14" s="32"/>
    </row>
    <row r="15" spans="1:3" x14ac:dyDescent="0.2">
      <c r="A15" s="34" t="s">
        <v>22</v>
      </c>
      <c r="B15" s="32"/>
    </row>
    <row r="16" spans="1:3" x14ac:dyDescent="0.2">
      <c r="A16" s="34" t="s">
        <v>43</v>
      </c>
      <c r="B16" s="32"/>
    </row>
    <row r="17" spans="1:2" x14ac:dyDescent="0.2">
      <c r="A17" s="33" t="s">
        <v>124</v>
      </c>
      <c r="B17" s="32"/>
    </row>
    <row r="18" spans="1:2" x14ac:dyDescent="0.2">
      <c r="A18" s="33" t="s">
        <v>125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49"/>
  <sheetViews>
    <sheetView zoomScale="110" zoomScaleNormal="110" workbookViewId="0">
      <selection activeCell="A3" sqref="A3"/>
    </sheetView>
  </sheetViews>
  <sheetFormatPr defaultRowHeight="12.75" x14ac:dyDescent="0.2"/>
  <cols>
    <col min="1" max="1" width="10.5703125" customWidth="1"/>
    <col min="2" max="2" width="9.7109375" customWidth="1"/>
    <col min="3" max="5" width="8.7109375" customWidth="1"/>
    <col min="6" max="11" width="10.5703125" customWidth="1"/>
  </cols>
  <sheetData>
    <row r="1" spans="1:5" ht="15.75" x14ac:dyDescent="0.25">
      <c r="A1" s="158" t="s">
        <v>44</v>
      </c>
      <c r="B1" s="132"/>
      <c r="C1" s="132"/>
      <c r="D1" s="132"/>
      <c r="E1" s="132"/>
    </row>
    <row r="2" spans="1:5" ht="15.75" x14ac:dyDescent="0.25">
      <c r="A2" s="134" t="s">
        <v>210</v>
      </c>
      <c r="B2" s="38" t="s">
        <v>103</v>
      </c>
      <c r="C2" s="38" t="s">
        <v>119</v>
      </c>
      <c r="D2" s="38" t="s">
        <v>121</v>
      </c>
      <c r="E2" s="38" t="s">
        <v>168</v>
      </c>
    </row>
    <row r="3" spans="1:5" x14ac:dyDescent="0.2">
      <c r="A3" s="131"/>
      <c r="B3" s="157" t="s">
        <v>173</v>
      </c>
      <c r="C3" s="133"/>
      <c r="D3" s="131"/>
      <c r="E3" s="131"/>
    </row>
    <row r="4" spans="1:5" ht="14.25" x14ac:dyDescent="0.2">
      <c r="A4" s="38" t="s">
        <v>207</v>
      </c>
      <c r="B4" s="135">
        <v>134.56320000000002</v>
      </c>
      <c r="C4" s="135">
        <v>138.26693333333333</v>
      </c>
      <c r="D4" s="135">
        <v>145.37356666666668</v>
      </c>
      <c r="E4" s="135">
        <v>169.25106666666667</v>
      </c>
    </row>
    <row r="5" spans="1:5" ht="14.25" x14ac:dyDescent="0.2">
      <c r="A5" s="38" t="s">
        <v>208</v>
      </c>
      <c r="B5" s="135">
        <v>304.69686666666672</v>
      </c>
      <c r="C5" s="135">
        <v>314.14743333333337</v>
      </c>
      <c r="D5" s="135">
        <v>321.28680000000003</v>
      </c>
      <c r="E5" s="135">
        <v>352.80950000000001</v>
      </c>
    </row>
    <row r="6" spans="1:5" ht="14.25" x14ac:dyDescent="0.2">
      <c r="A6" s="38" t="s">
        <v>209</v>
      </c>
      <c r="B6" s="135">
        <v>470.4813333333334</v>
      </c>
      <c r="C6" s="135">
        <v>484.88203333333331</v>
      </c>
      <c r="D6" s="135">
        <v>494.6355333333334</v>
      </c>
      <c r="E6" s="135">
        <v>530.91126666666662</v>
      </c>
    </row>
    <row r="7" spans="1:5" ht="14.25" x14ac:dyDescent="0.2">
      <c r="A7" s="38"/>
      <c r="B7" s="135"/>
      <c r="C7" s="135"/>
      <c r="D7" s="135"/>
      <c r="E7" s="135"/>
    </row>
    <row r="8" spans="1:5" ht="14.25" x14ac:dyDescent="0.2">
      <c r="A8" s="38"/>
      <c r="B8" s="135"/>
      <c r="C8" s="135"/>
      <c r="D8" s="135"/>
      <c r="E8" s="135"/>
    </row>
    <row r="9" spans="1:5" ht="14.25" x14ac:dyDescent="0.2">
      <c r="A9" s="38"/>
      <c r="B9" s="135"/>
      <c r="C9" s="135"/>
      <c r="D9" s="135"/>
      <c r="E9" s="135"/>
    </row>
    <row r="10" spans="1:5" ht="14.25" x14ac:dyDescent="0.2">
      <c r="A10" s="38"/>
      <c r="B10" s="135"/>
      <c r="C10" s="135"/>
      <c r="D10" s="135"/>
      <c r="E10" s="135"/>
    </row>
    <row r="11" spans="1:5" ht="14.25" x14ac:dyDescent="0.2">
      <c r="A11" s="38"/>
      <c r="B11" s="135"/>
      <c r="C11" s="135"/>
      <c r="D11" s="135"/>
      <c r="E11" s="135"/>
    </row>
    <row r="12" spans="1:5" ht="14.25" x14ac:dyDescent="0.2">
      <c r="A12" s="38"/>
      <c r="B12" s="135"/>
      <c r="C12" s="135"/>
      <c r="D12" s="135"/>
      <c r="E12" s="135"/>
    </row>
    <row r="13" spans="1:5" ht="15.75" x14ac:dyDescent="0.25">
      <c r="A13" s="132"/>
      <c r="B13" s="135"/>
      <c r="C13" s="135"/>
      <c r="D13" s="135"/>
      <c r="E13" s="135"/>
    </row>
    <row r="14" spans="1:5" ht="15.75" x14ac:dyDescent="0.25">
      <c r="A14" s="132"/>
      <c r="B14" s="135"/>
      <c r="C14" s="135"/>
      <c r="D14" s="135"/>
      <c r="E14" s="135"/>
    </row>
    <row r="15" spans="1:5" ht="15.75" x14ac:dyDescent="0.25">
      <c r="A15" s="132"/>
      <c r="B15" s="135"/>
      <c r="C15" s="135"/>
      <c r="D15" s="135"/>
      <c r="E15" s="135"/>
    </row>
    <row r="16" spans="1:5" ht="15.75" x14ac:dyDescent="0.25">
      <c r="A16" s="127"/>
      <c r="B16" s="126"/>
      <c r="C16" s="126"/>
      <c r="D16" s="125"/>
    </row>
    <row r="17" spans="1:4" ht="15.75" x14ac:dyDescent="0.25">
      <c r="A17" s="127"/>
      <c r="B17" s="126"/>
      <c r="C17" s="126"/>
      <c r="D17" s="125"/>
    </row>
    <row r="18" spans="1:4" ht="15.75" x14ac:dyDescent="0.25">
      <c r="A18" s="127"/>
      <c r="B18" s="126"/>
      <c r="C18" s="126"/>
      <c r="D18" s="125"/>
    </row>
    <row r="19" spans="1:4" ht="15.75" x14ac:dyDescent="0.25">
      <c r="A19" s="127"/>
      <c r="B19" s="126"/>
      <c r="C19" s="126"/>
      <c r="D19" s="125"/>
    </row>
    <row r="20" spans="1:4" x14ac:dyDescent="0.2">
      <c r="A20" s="127"/>
      <c r="B20" s="126"/>
      <c r="C20" s="126"/>
    </row>
    <row r="21" spans="1:4" x14ac:dyDescent="0.2">
      <c r="A21" s="127"/>
      <c r="B21" s="126"/>
      <c r="C21" s="126"/>
    </row>
    <row r="22" spans="1:4" x14ac:dyDescent="0.2">
      <c r="A22" s="127"/>
      <c r="B22" s="126"/>
      <c r="C22" s="126"/>
    </row>
    <row r="23" spans="1:4" x14ac:dyDescent="0.2">
      <c r="A23" s="127"/>
      <c r="B23" s="126"/>
      <c r="C23" s="126"/>
    </row>
    <row r="24" spans="1:4" x14ac:dyDescent="0.2">
      <c r="A24" s="127"/>
      <c r="B24" s="126"/>
      <c r="C24" s="126"/>
    </row>
    <row r="25" spans="1:4" x14ac:dyDescent="0.2">
      <c r="A25" s="127"/>
      <c r="B25" s="126"/>
      <c r="C25" s="126"/>
    </row>
    <row r="26" spans="1:4" x14ac:dyDescent="0.2">
      <c r="A26" s="127"/>
      <c r="B26" s="126"/>
      <c r="C26" s="126"/>
    </row>
    <row r="27" spans="1:4" x14ac:dyDescent="0.2">
      <c r="A27" s="127"/>
      <c r="B27" s="126"/>
      <c r="C27" s="126"/>
    </row>
    <row r="28" spans="1:4" x14ac:dyDescent="0.2">
      <c r="A28" s="127"/>
      <c r="B28" s="126"/>
      <c r="C28" s="126"/>
    </row>
    <row r="29" spans="1:4" x14ac:dyDescent="0.2">
      <c r="A29" s="127"/>
      <c r="B29" s="126"/>
      <c r="C29" s="126"/>
    </row>
    <row r="30" spans="1:4" x14ac:dyDescent="0.2">
      <c r="A30" s="127"/>
      <c r="B30" s="126"/>
      <c r="C30" s="126"/>
    </row>
    <row r="31" spans="1:4" x14ac:dyDescent="0.2">
      <c r="A31" s="127"/>
      <c r="B31" s="126"/>
      <c r="C31" s="126"/>
    </row>
    <row r="32" spans="1:4" x14ac:dyDescent="0.2">
      <c r="A32" s="127"/>
      <c r="B32" s="126"/>
      <c r="C32" s="126"/>
    </row>
    <row r="33" spans="1:5" x14ac:dyDescent="0.2">
      <c r="A33" s="127"/>
      <c r="B33" s="126"/>
      <c r="C33" s="126"/>
    </row>
    <row r="34" spans="1:5" x14ac:dyDescent="0.2">
      <c r="A34" s="127"/>
      <c r="B34" s="126"/>
      <c r="C34" s="126"/>
    </row>
    <row r="35" spans="1:5" x14ac:dyDescent="0.2">
      <c r="A35" s="127"/>
      <c r="B35" s="126"/>
      <c r="C35" s="126"/>
    </row>
    <row r="36" spans="1:5" x14ac:dyDescent="0.2">
      <c r="A36" s="127"/>
      <c r="B36" s="126"/>
      <c r="C36" s="126"/>
    </row>
    <row r="37" spans="1:5" x14ac:dyDescent="0.2">
      <c r="A37" s="127"/>
      <c r="B37" s="126"/>
      <c r="C37" s="126"/>
    </row>
    <row r="38" spans="1:5" x14ac:dyDescent="0.2">
      <c r="A38" s="19"/>
      <c r="B38" s="19"/>
      <c r="C38" s="13"/>
      <c r="D38" s="13"/>
      <c r="E38" s="13"/>
    </row>
    <row r="39" spans="1:5" x14ac:dyDescent="0.2">
      <c r="A39" s="19"/>
      <c r="B39" s="19"/>
      <c r="C39" s="13"/>
      <c r="D39" s="13"/>
      <c r="E39" s="13"/>
    </row>
    <row r="40" spans="1:5" x14ac:dyDescent="0.2">
      <c r="A40" s="19"/>
      <c r="B40" s="19"/>
      <c r="C40" s="13"/>
      <c r="D40" s="13"/>
      <c r="E40" s="13"/>
    </row>
    <row r="41" spans="1:5" x14ac:dyDescent="0.2">
      <c r="A41" s="19"/>
      <c r="B41" s="19"/>
      <c r="C41" s="13"/>
      <c r="D41" s="13"/>
      <c r="E41" s="13"/>
    </row>
    <row r="42" spans="1:5" x14ac:dyDescent="0.2">
      <c r="A42" s="19"/>
      <c r="B42" s="19"/>
      <c r="C42" s="13"/>
      <c r="D42" s="13"/>
      <c r="E42" s="13"/>
    </row>
    <row r="43" spans="1:5" x14ac:dyDescent="0.2">
      <c r="A43" s="19"/>
      <c r="B43" s="19"/>
      <c r="C43" s="13"/>
      <c r="D43" s="13"/>
      <c r="E43" s="13"/>
    </row>
    <row r="44" spans="1:5" x14ac:dyDescent="0.2">
      <c r="A44" s="19"/>
      <c r="B44" s="19"/>
      <c r="C44" s="13"/>
      <c r="D44" s="13"/>
      <c r="E44" s="13"/>
    </row>
    <row r="45" spans="1:5" x14ac:dyDescent="0.2">
      <c r="A45" s="19"/>
      <c r="B45" s="19"/>
      <c r="C45" s="18"/>
      <c r="D45" s="18"/>
      <c r="E45" s="18"/>
    </row>
    <row r="46" spans="1:5" x14ac:dyDescent="0.2">
      <c r="A46" s="19"/>
      <c r="B46" s="19"/>
      <c r="C46" s="18"/>
      <c r="D46" s="18"/>
      <c r="E46" s="18"/>
    </row>
    <row r="47" spans="1:5" x14ac:dyDescent="0.2">
      <c r="A47" s="19"/>
      <c r="B47" s="19"/>
      <c r="C47" s="18"/>
      <c r="D47" s="18"/>
      <c r="E47" s="18"/>
    </row>
    <row r="48" spans="1:5" x14ac:dyDescent="0.2">
      <c r="A48" s="19"/>
      <c r="B48" s="19"/>
      <c r="C48" s="18"/>
      <c r="D48" s="18"/>
      <c r="E48" s="18"/>
    </row>
    <row r="49" spans="1:5" x14ac:dyDescent="0.2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55"/>
  <sheetViews>
    <sheetView zoomScale="110" zoomScaleNormal="110" workbookViewId="0">
      <selection activeCell="B17" sqref="B17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7" x14ac:dyDescent="0.2">
      <c r="A1" s="152" t="s">
        <v>181</v>
      </c>
    </row>
    <row r="2" spans="1:7" x14ac:dyDescent="0.2">
      <c r="A2" s="20"/>
      <c r="B2" s="155" t="s">
        <v>102</v>
      </c>
      <c r="C2" s="155" t="s">
        <v>103</v>
      </c>
      <c r="D2" s="156" t="s">
        <v>119</v>
      </c>
      <c r="E2" s="155" t="s">
        <v>121</v>
      </c>
      <c r="F2" s="155" t="s">
        <v>168</v>
      </c>
      <c r="G2" s="20"/>
    </row>
    <row r="3" spans="1:7" x14ac:dyDescent="0.2">
      <c r="A3" s="10"/>
      <c r="B3" s="10"/>
      <c r="C3" s="10"/>
      <c r="D3" s="10"/>
    </row>
    <row r="4" spans="1:7" x14ac:dyDescent="0.2">
      <c r="B4" s="152" t="s">
        <v>182</v>
      </c>
      <c r="C4" s="10"/>
      <c r="D4" s="10"/>
    </row>
    <row r="5" spans="1:7" x14ac:dyDescent="0.2">
      <c r="A5" s="154" t="s">
        <v>183</v>
      </c>
      <c r="B5" s="138">
        <v>4.1000140680000001</v>
      </c>
      <c r="C5" s="138">
        <v>5.5316960000000002</v>
      </c>
      <c r="D5" s="138">
        <v>5.2137219999999997</v>
      </c>
      <c r="E5" s="138">
        <v>5.8560649999999992</v>
      </c>
      <c r="F5" s="138">
        <v>6.9201170000000003</v>
      </c>
      <c r="G5" s="147"/>
    </row>
    <row r="6" spans="1:7" x14ac:dyDescent="0.2">
      <c r="A6" s="154" t="s">
        <v>184</v>
      </c>
      <c r="B6" s="138">
        <v>10.126455067999999</v>
      </c>
      <c r="C6" s="138">
        <v>12.925146</v>
      </c>
      <c r="D6" s="138">
        <v>13.049132999999999</v>
      </c>
      <c r="E6" s="138">
        <v>14.540244999999999</v>
      </c>
      <c r="F6" s="138">
        <v>12.304363</v>
      </c>
      <c r="G6" s="147"/>
    </row>
    <row r="7" spans="1:7" x14ac:dyDescent="0.2">
      <c r="A7" s="154" t="s">
        <v>185</v>
      </c>
      <c r="B7" s="138">
        <v>18.653279068</v>
      </c>
      <c r="C7" s="138">
        <v>22.044989999999999</v>
      </c>
      <c r="D7" s="138">
        <v>22.045214000000001</v>
      </c>
      <c r="E7" s="138">
        <v>24.087054999999999</v>
      </c>
      <c r="F7" s="138">
        <v>18.025120999999999</v>
      </c>
    </row>
    <row r="8" spans="1:7" x14ac:dyDescent="0.2">
      <c r="A8" s="154" t="s">
        <v>186</v>
      </c>
      <c r="B8" s="138">
        <v>25.529117067999998</v>
      </c>
      <c r="C8" s="138">
        <v>27.701886999999999</v>
      </c>
      <c r="D8" s="138">
        <v>29.700275999999999</v>
      </c>
      <c r="E8" s="138">
        <v>32.567891000000003</v>
      </c>
      <c r="F8" s="138"/>
    </row>
    <row r="9" spans="1:7" x14ac:dyDescent="0.2">
      <c r="A9" s="154" t="s">
        <v>187</v>
      </c>
      <c r="B9" s="138">
        <v>29.792531067999999</v>
      </c>
      <c r="C9" s="138">
        <v>32.209654999999998</v>
      </c>
      <c r="D9" s="138">
        <v>35.238046000000004</v>
      </c>
      <c r="E9" s="138">
        <v>37.992125999999999</v>
      </c>
      <c r="F9" s="138"/>
    </row>
    <row r="10" spans="1:7" x14ac:dyDescent="0.2">
      <c r="A10" s="154" t="s">
        <v>188</v>
      </c>
      <c r="B10" s="138">
        <v>34.285569067999994</v>
      </c>
      <c r="C10" s="138">
        <v>38.307186999999999</v>
      </c>
      <c r="D10" s="138">
        <v>41.564675367000007</v>
      </c>
      <c r="E10" s="138">
        <v>43.653874999999999</v>
      </c>
      <c r="F10" s="138"/>
    </row>
    <row r="11" spans="1:7" x14ac:dyDescent="0.2">
      <c r="A11" s="154" t="s">
        <v>189</v>
      </c>
      <c r="B11" s="138">
        <v>39.593993067999996</v>
      </c>
      <c r="C11" s="138">
        <v>45.378322999999995</v>
      </c>
      <c r="D11" s="138">
        <v>49.580133367000002</v>
      </c>
      <c r="E11" s="138">
        <v>50.574323999999997</v>
      </c>
      <c r="F11" s="138"/>
    </row>
    <row r="12" spans="1:7" x14ac:dyDescent="0.2">
      <c r="A12" s="154" t="s">
        <v>190</v>
      </c>
      <c r="B12" s="138">
        <v>45.720968067999998</v>
      </c>
      <c r="C12" s="138">
        <v>53.042496999999997</v>
      </c>
      <c r="D12" s="138">
        <v>59.166722367000006</v>
      </c>
      <c r="E12" s="138">
        <v>60.260664000000006</v>
      </c>
      <c r="F12" s="138"/>
    </row>
    <row r="13" spans="1:7" x14ac:dyDescent="0.2">
      <c r="A13" s="154" t="s">
        <v>191</v>
      </c>
      <c r="B13" s="138">
        <v>53.808058068000001</v>
      </c>
      <c r="C13" s="138">
        <v>60.607301999999997</v>
      </c>
      <c r="D13" s="138">
        <v>66.853371366999994</v>
      </c>
      <c r="E13" s="138">
        <v>68.958973999999998</v>
      </c>
      <c r="F13" s="138"/>
    </row>
    <row r="14" spans="1:7" x14ac:dyDescent="0.2">
      <c r="A14" s="154" t="s">
        <v>192</v>
      </c>
      <c r="B14" s="138">
        <v>63.308071067999997</v>
      </c>
      <c r="C14" s="138">
        <v>68.365087999999986</v>
      </c>
      <c r="D14" s="138">
        <v>76.934266367000006</v>
      </c>
      <c r="E14" s="138">
        <v>76.933338000000006</v>
      </c>
      <c r="F14" s="138"/>
    </row>
    <row r="15" spans="1:7" x14ac:dyDescent="0.2">
      <c r="A15" s="154" t="s">
        <v>193</v>
      </c>
      <c r="B15" s="138">
        <v>71.091601068000003</v>
      </c>
      <c r="C15" s="138">
        <v>76.036188999999979</v>
      </c>
      <c r="D15" s="138">
        <v>85.381984367000001</v>
      </c>
      <c r="E15" s="138">
        <v>86.083678000000006</v>
      </c>
      <c r="F15" s="138"/>
    </row>
    <row r="16" spans="1:7" x14ac:dyDescent="0.2">
      <c r="A16" s="154" t="s">
        <v>194</v>
      </c>
      <c r="B16" s="138">
        <v>78.351601068000008</v>
      </c>
      <c r="C16" s="138">
        <v>83.229946999999981</v>
      </c>
      <c r="D16" s="138">
        <v>93.494661366999992</v>
      </c>
      <c r="E16" s="138">
        <v>94.094958000000005</v>
      </c>
      <c r="F16" s="138"/>
    </row>
    <row r="17" spans="1:9" ht="14.25" x14ac:dyDescent="0.2">
      <c r="A17" s="148"/>
      <c r="B17" s="149"/>
      <c r="C17" s="138"/>
      <c r="D17" s="137"/>
      <c r="H17" s="144"/>
      <c r="I17" s="144"/>
    </row>
    <row r="18" spans="1:9" ht="14.25" x14ac:dyDescent="0.2">
      <c r="A18" s="148"/>
      <c r="B18" s="149"/>
      <c r="C18" s="138"/>
      <c r="D18" s="137"/>
      <c r="H18" s="13"/>
    </row>
    <row r="19" spans="1:9" ht="14.25" x14ac:dyDescent="0.2">
      <c r="A19" s="148"/>
      <c r="B19" s="149"/>
      <c r="C19" s="138"/>
      <c r="D19" s="137"/>
      <c r="H19" s="13"/>
    </row>
    <row r="20" spans="1:9" ht="14.25" x14ac:dyDescent="0.2">
      <c r="A20" s="148"/>
      <c r="B20" s="149"/>
      <c r="C20" s="138"/>
      <c r="D20" s="137"/>
      <c r="H20" s="13"/>
    </row>
    <row r="21" spans="1:9" ht="14.25" x14ac:dyDescent="0.2">
      <c r="A21" s="148"/>
      <c r="B21" s="149"/>
      <c r="C21" s="138"/>
      <c r="D21" s="137"/>
      <c r="H21" s="13"/>
    </row>
    <row r="22" spans="1:9" ht="14.25" x14ac:dyDescent="0.2">
      <c r="A22" s="148"/>
      <c r="B22" s="149"/>
      <c r="C22" s="138"/>
      <c r="D22" s="137"/>
      <c r="H22" s="13"/>
    </row>
    <row r="23" spans="1:9" ht="14.25" x14ac:dyDescent="0.2">
      <c r="A23" s="148"/>
      <c r="B23" s="149"/>
      <c r="C23" s="138"/>
      <c r="D23" s="137"/>
      <c r="H23" s="13"/>
    </row>
    <row r="24" spans="1:9" ht="14.25" x14ac:dyDescent="0.2">
      <c r="A24" s="148"/>
      <c r="B24" s="149"/>
      <c r="C24" s="137"/>
      <c r="D24" s="137"/>
      <c r="H24" s="13"/>
    </row>
    <row r="25" spans="1:9" ht="14.25" x14ac:dyDescent="0.2">
      <c r="A25" s="148"/>
      <c r="B25" s="149"/>
      <c r="C25" s="137"/>
      <c r="D25" s="137"/>
      <c r="H25" s="13"/>
    </row>
    <row r="26" spans="1:9" ht="14.25" x14ac:dyDescent="0.2">
      <c r="A26" s="148"/>
      <c r="B26" s="149"/>
      <c r="C26" s="137"/>
      <c r="D26" s="137"/>
      <c r="H26" s="13"/>
    </row>
    <row r="27" spans="1:9" ht="14.25" x14ac:dyDescent="0.2">
      <c r="A27" s="148"/>
      <c r="B27" s="149"/>
      <c r="C27" s="137"/>
      <c r="D27" s="137"/>
      <c r="H27" s="13"/>
    </row>
    <row r="28" spans="1:9" ht="14.25" x14ac:dyDescent="0.2">
      <c r="A28" s="148"/>
      <c r="B28" s="149"/>
      <c r="C28" s="137"/>
      <c r="D28" s="137"/>
      <c r="H28" s="13"/>
    </row>
    <row r="29" spans="1:9" ht="14.25" x14ac:dyDescent="0.2">
      <c r="A29" s="148"/>
      <c r="B29" s="149"/>
      <c r="C29" s="137"/>
      <c r="D29" s="137"/>
      <c r="H29" s="13"/>
    </row>
    <row r="30" spans="1:9" ht="14.25" x14ac:dyDescent="0.2">
      <c r="A30" s="148"/>
      <c r="B30" s="149"/>
      <c r="C30" s="137"/>
      <c r="D30" s="137"/>
    </row>
    <row r="31" spans="1:9" ht="14.25" x14ac:dyDescent="0.2">
      <c r="A31" s="148"/>
      <c r="B31" s="149"/>
      <c r="C31" s="137"/>
      <c r="D31" s="137"/>
    </row>
    <row r="32" spans="1:9" ht="14.25" x14ac:dyDescent="0.2">
      <c r="A32" s="148"/>
      <c r="B32" s="149"/>
      <c r="C32" s="137"/>
      <c r="D32" s="137"/>
    </row>
    <row r="33" spans="1:4" ht="14.25" x14ac:dyDescent="0.2">
      <c r="A33" s="148"/>
      <c r="B33" s="149"/>
      <c r="C33" s="137"/>
      <c r="D33" s="137"/>
    </row>
    <row r="34" spans="1:4" ht="14.25" x14ac:dyDescent="0.2">
      <c r="A34" s="148"/>
      <c r="B34" s="149"/>
      <c r="C34" s="137"/>
      <c r="D34" s="137"/>
    </row>
    <row r="35" spans="1:4" ht="14.25" x14ac:dyDescent="0.2">
      <c r="A35" s="148"/>
      <c r="B35" s="149"/>
      <c r="C35" s="137"/>
      <c r="D35" s="137"/>
    </row>
    <row r="36" spans="1:4" ht="14.25" x14ac:dyDescent="0.2">
      <c r="A36" s="148"/>
      <c r="B36" s="149"/>
      <c r="C36" s="137"/>
      <c r="D36" s="137"/>
    </row>
    <row r="37" spans="1:4" ht="14.25" x14ac:dyDescent="0.2">
      <c r="A37" s="148"/>
      <c r="B37" s="149"/>
      <c r="C37" s="137"/>
      <c r="D37" s="137"/>
    </row>
    <row r="38" spans="1:4" ht="14.25" x14ac:dyDescent="0.2">
      <c r="A38" s="148"/>
      <c r="B38" s="149"/>
      <c r="C38" s="137"/>
      <c r="D38" s="137"/>
    </row>
    <row r="39" spans="1:4" ht="14.25" x14ac:dyDescent="0.2">
      <c r="A39" s="148"/>
      <c r="B39" s="149"/>
      <c r="C39" s="137"/>
      <c r="D39" s="137"/>
    </row>
    <row r="40" spans="1:4" ht="14.25" x14ac:dyDescent="0.2">
      <c r="A40" s="148"/>
      <c r="B40" s="149"/>
      <c r="C40" s="137"/>
      <c r="D40" s="137"/>
    </row>
    <row r="41" spans="1:4" ht="14.25" x14ac:dyDescent="0.2">
      <c r="A41" s="148"/>
      <c r="B41" s="149"/>
      <c r="C41" s="137"/>
      <c r="D41" s="137"/>
    </row>
    <row r="42" spans="1:4" ht="14.25" x14ac:dyDescent="0.2">
      <c r="A42" s="148"/>
      <c r="B42" s="149"/>
      <c r="C42" s="137"/>
      <c r="D42" s="137"/>
    </row>
    <row r="43" spans="1:4" ht="14.25" x14ac:dyDescent="0.2">
      <c r="A43" s="148"/>
      <c r="B43" s="149"/>
      <c r="C43" s="137"/>
      <c r="D43" s="137"/>
    </row>
    <row r="44" spans="1:4" ht="14.25" x14ac:dyDescent="0.2">
      <c r="A44" s="148"/>
      <c r="B44" s="149"/>
      <c r="C44" s="137"/>
      <c r="D44" s="137"/>
    </row>
    <row r="45" spans="1:4" ht="14.25" x14ac:dyDescent="0.2">
      <c r="A45" s="148"/>
      <c r="B45" s="149"/>
      <c r="C45" s="137"/>
      <c r="D45" s="137"/>
    </row>
    <row r="46" spans="1:4" ht="14.25" x14ac:dyDescent="0.2">
      <c r="A46" s="148"/>
      <c r="B46" s="149"/>
      <c r="C46" s="137"/>
      <c r="D46" s="137"/>
    </row>
    <row r="47" spans="1:4" ht="14.25" x14ac:dyDescent="0.2">
      <c r="A47" s="148"/>
      <c r="B47" s="149"/>
      <c r="C47" s="137"/>
      <c r="D47" s="137"/>
    </row>
    <row r="48" spans="1:4" ht="14.25" x14ac:dyDescent="0.2">
      <c r="A48" s="148"/>
      <c r="B48" s="149"/>
      <c r="C48" s="137"/>
      <c r="D48" s="137"/>
    </row>
    <row r="49" spans="1:4" ht="14.25" x14ac:dyDescent="0.2">
      <c r="A49" s="148"/>
      <c r="B49" s="149"/>
      <c r="C49" s="137"/>
      <c r="D49" s="137"/>
    </row>
    <row r="50" spans="1:4" ht="14.25" x14ac:dyDescent="0.2">
      <c r="A50" s="148"/>
      <c r="B50" s="149"/>
      <c r="C50" s="137"/>
      <c r="D50" s="137"/>
    </row>
    <row r="51" spans="1:4" ht="14.25" x14ac:dyDescent="0.2">
      <c r="A51" s="148"/>
      <c r="B51" s="149"/>
      <c r="C51" s="137"/>
      <c r="D51" s="137"/>
    </row>
    <row r="52" spans="1:4" ht="14.25" x14ac:dyDescent="0.2">
      <c r="A52" s="148"/>
      <c r="B52" s="149"/>
      <c r="C52" s="137"/>
      <c r="D52" s="137"/>
    </row>
    <row r="53" spans="1:4" ht="14.25" x14ac:dyDescent="0.2">
      <c r="A53" s="148"/>
      <c r="B53" s="149"/>
      <c r="C53" s="137"/>
      <c r="D53" s="137"/>
    </row>
    <row r="54" spans="1:4" ht="14.25" x14ac:dyDescent="0.2">
      <c r="A54" s="148"/>
      <c r="B54" s="149"/>
      <c r="C54" s="137"/>
      <c r="D54" s="137"/>
    </row>
    <row r="55" spans="1:4" ht="14.25" x14ac:dyDescent="0.2">
      <c r="A55" s="148"/>
      <c r="B55" s="149"/>
      <c r="C55" s="137"/>
      <c r="D55" s="137"/>
    </row>
    <row r="56" spans="1:4" ht="14.25" x14ac:dyDescent="0.2">
      <c r="A56" s="148"/>
      <c r="B56" s="149"/>
      <c r="C56" s="137"/>
      <c r="D56" s="137"/>
    </row>
    <row r="57" spans="1:4" ht="14.25" x14ac:dyDescent="0.2">
      <c r="A57" s="148"/>
      <c r="B57" s="149"/>
      <c r="C57" s="137"/>
      <c r="D57" s="137"/>
    </row>
    <row r="58" spans="1:4" ht="14.25" x14ac:dyDescent="0.2">
      <c r="A58" s="148"/>
      <c r="B58" s="149"/>
      <c r="C58" s="137"/>
      <c r="D58" s="137"/>
    </row>
    <row r="59" spans="1:4" ht="14.25" x14ac:dyDescent="0.2">
      <c r="A59" s="148"/>
      <c r="B59" s="149"/>
      <c r="C59" s="137"/>
      <c r="D59" s="137"/>
    </row>
    <row r="60" spans="1:4" ht="14.25" x14ac:dyDescent="0.2">
      <c r="A60" s="148"/>
      <c r="B60" s="149"/>
      <c r="C60" s="137"/>
      <c r="D60" s="137"/>
    </row>
    <row r="61" spans="1:4" ht="14.25" x14ac:dyDescent="0.2">
      <c r="A61" s="148"/>
      <c r="B61" s="149"/>
      <c r="C61" s="137"/>
      <c r="D61" s="137"/>
    </row>
    <row r="62" spans="1:4" ht="14.25" x14ac:dyDescent="0.2">
      <c r="A62" s="148"/>
      <c r="B62" s="149"/>
      <c r="C62" s="137"/>
      <c r="D62" s="137"/>
    </row>
    <row r="63" spans="1:4" ht="14.25" x14ac:dyDescent="0.2">
      <c r="A63" s="148"/>
      <c r="B63" s="149"/>
      <c r="C63" s="137"/>
      <c r="D63" s="137"/>
    </row>
    <row r="64" spans="1:4" ht="14.25" x14ac:dyDescent="0.2">
      <c r="A64" s="148"/>
      <c r="B64" s="149"/>
      <c r="C64" s="137"/>
      <c r="D64" s="137"/>
    </row>
    <row r="65" spans="1:4" ht="14.25" x14ac:dyDescent="0.2">
      <c r="A65" s="148"/>
      <c r="B65" s="149"/>
      <c r="C65" s="137"/>
      <c r="D65" s="137"/>
    </row>
    <row r="66" spans="1:4" ht="14.25" x14ac:dyDescent="0.2">
      <c r="A66" s="148"/>
      <c r="B66" s="149"/>
      <c r="C66" s="137"/>
      <c r="D66" s="137"/>
    </row>
    <row r="67" spans="1:4" ht="14.25" x14ac:dyDescent="0.2">
      <c r="A67" s="148"/>
      <c r="B67" s="149"/>
      <c r="C67" s="137"/>
      <c r="D67" s="137"/>
    </row>
    <row r="68" spans="1:4" ht="14.25" x14ac:dyDescent="0.2">
      <c r="A68" s="148"/>
      <c r="B68" s="149"/>
      <c r="C68" s="137"/>
      <c r="D68" s="137"/>
    </row>
    <row r="69" spans="1:4" ht="14.25" x14ac:dyDescent="0.2">
      <c r="A69" s="148"/>
      <c r="B69" s="149"/>
      <c r="C69" s="137"/>
      <c r="D69" s="137"/>
    </row>
    <row r="70" spans="1:4" ht="14.25" x14ac:dyDescent="0.2">
      <c r="A70" s="148"/>
      <c r="B70" s="149"/>
      <c r="C70" s="137"/>
      <c r="D70" s="137"/>
    </row>
    <row r="71" spans="1:4" ht="14.25" x14ac:dyDescent="0.2">
      <c r="A71" s="148"/>
      <c r="B71" s="149"/>
      <c r="C71" s="137"/>
      <c r="D71" s="137"/>
    </row>
    <row r="72" spans="1:4" ht="14.25" x14ac:dyDescent="0.2">
      <c r="A72" s="148"/>
      <c r="B72" s="149"/>
      <c r="C72" s="137"/>
      <c r="D72" s="137"/>
    </row>
    <row r="73" spans="1:4" ht="14.25" x14ac:dyDescent="0.2">
      <c r="A73" s="148"/>
      <c r="B73" s="149"/>
      <c r="C73" s="137"/>
      <c r="D73" s="137"/>
    </row>
    <row r="74" spans="1:4" ht="14.25" x14ac:dyDescent="0.2">
      <c r="A74" s="148"/>
      <c r="B74" s="149"/>
      <c r="C74" s="137"/>
      <c r="D74" s="137"/>
    </row>
    <row r="75" spans="1:4" ht="14.25" x14ac:dyDescent="0.2">
      <c r="A75" s="148"/>
      <c r="B75" s="149"/>
      <c r="C75" s="137"/>
      <c r="D75" s="137"/>
    </row>
    <row r="76" spans="1:4" ht="14.25" x14ac:dyDescent="0.2">
      <c r="A76" s="148"/>
      <c r="B76" s="149"/>
      <c r="C76" s="137"/>
      <c r="D76" s="137"/>
    </row>
    <row r="77" spans="1:4" ht="14.25" x14ac:dyDescent="0.2">
      <c r="A77" s="148"/>
      <c r="B77" s="149"/>
      <c r="C77" s="137"/>
      <c r="D77" s="137"/>
    </row>
    <row r="78" spans="1:4" ht="14.25" x14ac:dyDescent="0.2">
      <c r="A78" s="148"/>
      <c r="B78" s="149"/>
      <c r="C78" s="137"/>
      <c r="D78" s="137"/>
    </row>
    <row r="79" spans="1:4" ht="14.25" x14ac:dyDescent="0.2">
      <c r="A79" s="148"/>
      <c r="B79" s="149"/>
      <c r="C79" s="137"/>
      <c r="D79" s="137"/>
    </row>
    <row r="80" spans="1:4" ht="14.25" x14ac:dyDescent="0.2">
      <c r="A80" s="148"/>
      <c r="B80" s="149"/>
      <c r="C80" s="137"/>
      <c r="D80" s="137"/>
    </row>
    <row r="81" spans="1:4" ht="14.25" x14ac:dyDescent="0.2">
      <c r="A81" s="148"/>
      <c r="B81" s="149"/>
      <c r="C81" s="137"/>
      <c r="D81" s="137"/>
    </row>
    <row r="82" spans="1:4" ht="14.25" x14ac:dyDescent="0.2">
      <c r="A82" s="148"/>
      <c r="B82" s="149"/>
      <c r="C82" s="137"/>
      <c r="D82" s="137"/>
    </row>
    <row r="83" spans="1:4" ht="14.25" x14ac:dyDescent="0.2">
      <c r="A83" s="148"/>
      <c r="B83" s="149"/>
      <c r="C83" s="137"/>
      <c r="D83" s="137"/>
    </row>
    <row r="84" spans="1:4" ht="14.25" x14ac:dyDescent="0.2">
      <c r="A84" s="148"/>
      <c r="B84" s="149"/>
      <c r="C84" s="137"/>
      <c r="D84" s="137"/>
    </row>
    <row r="85" spans="1:4" ht="14.25" x14ac:dyDescent="0.2">
      <c r="A85" s="148"/>
      <c r="B85" s="149"/>
      <c r="C85" s="137"/>
      <c r="D85" s="137"/>
    </row>
    <row r="86" spans="1:4" ht="14.25" x14ac:dyDescent="0.2">
      <c r="A86" s="148"/>
      <c r="B86" s="149"/>
      <c r="C86" s="137"/>
      <c r="D86" s="137"/>
    </row>
    <row r="87" spans="1:4" ht="14.25" x14ac:dyDescent="0.2">
      <c r="A87" s="148"/>
      <c r="B87" s="149"/>
      <c r="C87" s="137"/>
      <c r="D87" s="137"/>
    </row>
    <row r="88" spans="1:4" ht="14.25" x14ac:dyDescent="0.2">
      <c r="A88" s="148"/>
      <c r="B88" s="149"/>
      <c r="C88" s="137"/>
      <c r="D88" s="137"/>
    </row>
    <row r="89" spans="1:4" ht="14.25" x14ac:dyDescent="0.2">
      <c r="A89" s="148"/>
      <c r="B89" s="149"/>
      <c r="C89" s="137"/>
      <c r="D89" s="137"/>
    </row>
    <row r="90" spans="1:4" ht="14.25" x14ac:dyDescent="0.2">
      <c r="A90" s="148"/>
      <c r="B90" s="149"/>
      <c r="C90" s="137"/>
      <c r="D90" s="137"/>
    </row>
    <row r="91" spans="1:4" ht="14.25" x14ac:dyDescent="0.2">
      <c r="A91" s="148"/>
      <c r="B91" s="149"/>
      <c r="C91" s="137"/>
      <c r="D91" s="137"/>
    </row>
    <row r="92" spans="1:4" ht="14.25" x14ac:dyDescent="0.2">
      <c r="A92" s="148"/>
      <c r="B92" s="149"/>
      <c r="C92" s="137"/>
      <c r="D92" s="137"/>
    </row>
    <row r="93" spans="1:4" ht="14.25" x14ac:dyDescent="0.2">
      <c r="A93" s="148"/>
      <c r="B93" s="149"/>
      <c r="C93" s="137"/>
      <c r="D93" s="137"/>
    </row>
    <row r="94" spans="1:4" ht="14.25" x14ac:dyDescent="0.2">
      <c r="A94" s="148"/>
      <c r="B94" s="149"/>
      <c r="C94" s="137"/>
      <c r="D94" s="137"/>
    </row>
    <row r="95" spans="1:4" ht="14.25" x14ac:dyDescent="0.2">
      <c r="A95" s="148"/>
      <c r="B95" s="149"/>
      <c r="C95" s="137"/>
      <c r="D95" s="137"/>
    </row>
    <row r="96" spans="1:4" ht="14.25" x14ac:dyDescent="0.2">
      <c r="A96" s="148"/>
      <c r="B96" s="149"/>
      <c r="C96" s="137"/>
      <c r="D96" s="137"/>
    </row>
    <row r="97" spans="1:4" ht="14.25" x14ac:dyDescent="0.2">
      <c r="A97" s="148"/>
      <c r="B97" s="149"/>
      <c r="C97" s="137"/>
      <c r="D97" s="137"/>
    </row>
    <row r="98" spans="1:4" ht="14.25" x14ac:dyDescent="0.2">
      <c r="A98" s="148"/>
      <c r="B98" s="149"/>
      <c r="C98" s="137"/>
      <c r="D98" s="137"/>
    </row>
    <row r="99" spans="1:4" ht="14.25" x14ac:dyDescent="0.2">
      <c r="A99" s="148"/>
      <c r="B99" s="149"/>
      <c r="C99" s="137"/>
      <c r="D99" s="137"/>
    </row>
    <row r="100" spans="1:4" ht="14.25" x14ac:dyDescent="0.2">
      <c r="A100" s="148"/>
      <c r="B100" s="149"/>
      <c r="C100" s="137"/>
      <c r="D100" s="137"/>
    </row>
    <row r="101" spans="1:4" ht="14.25" x14ac:dyDescent="0.2">
      <c r="A101" s="148"/>
      <c r="B101" s="149"/>
      <c r="C101" s="137"/>
      <c r="D101" s="137"/>
    </row>
    <row r="102" spans="1:4" ht="14.25" x14ac:dyDescent="0.2">
      <c r="A102" s="148"/>
      <c r="B102" s="149"/>
      <c r="C102" s="137"/>
      <c r="D102" s="137"/>
    </row>
    <row r="103" spans="1:4" ht="14.25" x14ac:dyDescent="0.2">
      <c r="A103" s="148"/>
      <c r="B103" s="149"/>
      <c r="C103" s="137"/>
      <c r="D103" s="137"/>
    </row>
    <row r="104" spans="1:4" ht="14.25" x14ac:dyDescent="0.2">
      <c r="A104" s="148"/>
      <c r="B104" s="149"/>
      <c r="C104" s="137"/>
      <c r="D104" s="137"/>
    </row>
    <row r="105" spans="1:4" ht="14.25" x14ac:dyDescent="0.2">
      <c r="A105" s="148"/>
      <c r="B105" s="149"/>
      <c r="C105" s="137"/>
      <c r="D105" s="137"/>
    </row>
    <row r="106" spans="1:4" ht="14.25" x14ac:dyDescent="0.2">
      <c r="A106" s="148"/>
      <c r="B106" s="149"/>
      <c r="C106" s="137"/>
      <c r="D106" s="137"/>
    </row>
    <row r="107" spans="1:4" ht="14.25" x14ac:dyDescent="0.2">
      <c r="A107" s="148"/>
      <c r="B107" s="149"/>
      <c r="C107" s="137"/>
      <c r="D107" s="137"/>
    </row>
    <row r="108" spans="1:4" ht="14.25" x14ac:dyDescent="0.2">
      <c r="A108" s="148"/>
      <c r="B108" s="149"/>
      <c r="C108" s="137"/>
      <c r="D108" s="137"/>
    </row>
    <row r="109" spans="1:4" ht="14.25" x14ac:dyDescent="0.2">
      <c r="A109" s="148"/>
      <c r="B109" s="149"/>
      <c r="C109" s="137"/>
      <c r="D109" s="137"/>
    </row>
    <row r="110" spans="1:4" ht="14.25" x14ac:dyDescent="0.2">
      <c r="A110" s="148"/>
      <c r="B110" s="149"/>
      <c r="C110" s="137"/>
      <c r="D110" s="137"/>
    </row>
    <row r="111" spans="1:4" ht="14.25" x14ac:dyDescent="0.2">
      <c r="A111" s="148"/>
      <c r="B111" s="149"/>
      <c r="C111" s="137"/>
      <c r="D111" s="137"/>
    </row>
    <row r="112" spans="1:4" ht="14.25" x14ac:dyDescent="0.2">
      <c r="A112" s="148"/>
      <c r="B112" s="149"/>
      <c r="C112" s="137"/>
      <c r="D112" s="137"/>
    </row>
    <row r="113" spans="1:4" ht="14.25" x14ac:dyDescent="0.2">
      <c r="A113" s="148"/>
      <c r="B113" s="149"/>
      <c r="C113" s="137"/>
      <c r="D113" s="137"/>
    </row>
    <row r="114" spans="1:4" ht="14.25" x14ac:dyDescent="0.2">
      <c r="A114" s="148"/>
      <c r="B114" s="149"/>
      <c r="C114" s="137"/>
      <c r="D114" s="137"/>
    </row>
    <row r="115" spans="1:4" ht="14.25" x14ac:dyDescent="0.2">
      <c r="A115" s="148"/>
      <c r="B115" s="149"/>
      <c r="C115" s="137"/>
      <c r="D115" s="137"/>
    </row>
    <row r="116" spans="1:4" ht="14.25" x14ac:dyDescent="0.2">
      <c r="A116" s="148"/>
      <c r="B116" s="149"/>
      <c r="C116" s="137"/>
      <c r="D116" s="137"/>
    </row>
    <row r="117" spans="1:4" ht="14.25" x14ac:dyDescent="0.2">
      <c r="A117" s="148"/>
      <c r="B117" s="149"/>
      <c r="C117" s="137"/>
      <c r="D117" s="137"/>
    </row>
    <row r="118" spans="1:4" ht="14.25" x14ac:dyDescent="0.2">
      <c r="A118" s="148"/>
      <c r="B118" s="149"/>
      <c r="C118" s="137"/>
      <c r="D118" s="137"/>
    </row>
    <row r="119" spans="1:4" ht="14.25" x14ac:dyDescent="0.2">
      <c r="A119" s="148"/>
      <c r="B119" s="149"/>
      <c r="C119" s="137"/>
      <c r="D119" s="137"/>
    </row>
    <row r="120" spans="1:4" ht="14.25" x14ac:dyDescent="0.2">
      <c r="A120" s="148"/>
      <c r="B120" s="149"/>
      <c r="C120" s="137"/>
      <c r="D120" s="137"/>
    </row>
    <row r="121" spans="1:4" ht="14.25" x14ac:dyDescent="0.2">
      <c r="A121" s="148"/>
      <c r="B121" s="149"/>
      <c r="C121" s="137"/>
      <c r="D121" s="137"/>
    </row>
    <row r="122" spans="1:4" ht="14.25" x14ac:dyDescent="0.2">
      <c r="A122" s="148"/>
      <c r="B122" s="149"/>
      <c r="C122" s="137"/>
      <c r="D122" s="137"/>
    </row>
    <row r="123" spans="1:4" ht="14.25" x14ac:dyDescent="0.2">
      <c r="A123" s="148"/>
      <c r="B123" s="149"/>
      <c r="C123" s="137"/>
      <c r="D123" s="137"/>
    </row>
    <row r="124" spans="1:4" ht="14.25" x14ac:dyDescent="0.2">
      <c r="A124" s="148"/>
      <c r="B124" s="149"/>
      <c r="C124" s="137"/>
      <c r="D124" s="137"/>
    </row>
    <row r="125" spans="1:4" ht="14.25" x14ac:dyDescent="0.2">
      <c r="A125" s="148"/>
      <c r="B125" s="149"/>
      <c r="C125" s="137"/>
      <c r="D125" s="137"/>
    </row>
    <row r="126" spans="1:4" ht="14.25" x14ac:dyDescent="0.2">
      <c r="A126" s="148"/>
      <c r="B126" s="149"/>
      <c r="C126" s="137"/>
      <c r="D126" s="137"/>
    </row>
    <row r="127" spans="1:4" ht="14.25" x14ac:dyDescent="0.2">
      <c r="A127" s="148"/>
      <c r="B127" s="149"/>
      <c r="C127" s="137"/>
      <c r="D127" s="137"/>
    </row>
    <row r="128" spans="1:4" ht="14.25" x14ac:dyDescent="0.2">
      <c r="A128" s="148"/>
      <c r="B128" s="149"/>
      <c r="C128" s="137"/>
      <c r="D128" s="137"/>
    </row>
    <row r="129" spans="1:4" ht="14.25" x14ac:dyDescent="0.2">
      <c r="A129" s="148"/>
      <c r="B129" s="149"/>
      <c r="C129" s="137"/>
      <c r="D129" s="137"/>
    </row>
    <row r="130" spans="1:4" ht="14.25" x14ac:dyDescent="0.2">
      <c r="A130" s="148"/>
      <c r="B130" s="149"/>
      <c r="C130" s="137"/>
      <c r="D130" s="137"/>
    </row>
    <row r="131" spans="1:4" ht="14.25" x14ac:dyDescent="0.2">
      <c r="A131" s="148"/>
      <c r="B131" s="149"/>
      <c r="C131" s="137"/>
      <c r="D131" s="137"/>
    </row>
    <row r="132" spans="1:4" ht="14.25" x14ac:dyDescent="0.2">
      <c r="A132" s="148"/>
      <c r="B132" s="149"/>
      <c r="C132" s="137"/>
      <c r="D132" s="137"/>
    </row>
    <row r="133" spans="1:4" ht="14.25" x14ac:dyDescent="0.2">
      <c r="A133" s="148"/>
      <c r="B133" s="149"/>
      <c r="C133" s="137"/>
      <c r="D133" s="137"/>
    </row>
    <row r="134" spans="1:4" ht="14.25" x14ac:dyDescent="0.2">
      <c r="A134" s="148"/>
      <c r="B134" s="149"/>
      <c r="C134" s="137"/>
      <c r="D134" s="137"/>
    </row>
    <row r="135" spans="1:4" ht="14.25" x14ac:dyDescent="0.2">
      <c r="A135" s="148"/>
      <c r="B135" s="149"/>
      <c r="C135" s="137"/>
      <c r="D135" s="137"/>
    </row>
    <row r="136" spans="1:4" x14ac:dyDescent="0.2">
      <c r="A136" s="136"/>
      <c r="B136" s="137"/>
      <c r="C136" s="137"/>
      <c r="D136" s="137"/>
    </row>
    <row r="137" spans="1:4" x14ac:dyDescent="0.2">
      <c r="A137" s="136"/>
      <c r="B137" s="137"/>
      <c r="C137" s="137"/>
      <c r="D137" s="137"/>
    </row>
    <row r="138" spans="1:4" x14ac:dyDescent="0.2">
      <c r="A138" s="136"/>
      <c r="B138" s="137"/>
      <c r="C138" s="137"/>
      <c r="D138" s="137"/>
    </row>
    <row r="139" spans="1:4" x14ac:dyDescent="0.2">
      <c r="A139" s="136"/>
      <c r="B139" s="137"/>
      <c r="C139" s="137"/>
      <c r="D139" s="137"/>
    </row>
    <row r="140" spans="1:4" x14ac:dyDescent="0.2">
      <c r="A140" s="136"/>
      <c r="B140" s="137"/>
      <c r="C140" s="137"/>
      <c r="D140" s="137"/>
    </row>
    <row r="141" spans="1:4" x14ac:dyDescent="0.2">
      <c r="A141" s="136"/>
      <c r="B141" s="137"/>
      <c r="C141" s="137"/>
      <c r="D141" s="137"/>
    </row>
    <row r="142" spans="1:4" x14ac:dyDescent="0.2">
      <c r="A142" s="136"/>
      <c r="B142" s="137"/>
      <c r="C142" s="137"/>
      <c r="D142" s="137"/>
    </row>
    <row r="143" spans="1:4" x14ac:dyDescent="0.2">
      <c r="A143" s="136"/>
      <c r="B143" s="137"/>
      <c r="C143" s="137"/>
      <c r="D143" s="137"/>
    </row>
    <row r="144" spans="1:4" x14ac:dyDescent="0.2">
      <c r="A144" s="136"/>
      <c r="B144" s="137"/>
      <c r="C144" s="137"/>
      <c r="D144" s="137"/>
    </row>
    <row r="145" spans="1:4" x14ac:dyDescent="0.2">
      <c r="A145" s="136"/>
      <c r="B145" s="137"/>
      <c r="C145" s="137"/>
      <c r="D145" s="137"/>
    </row>
    <row r="146" spans="1:4" x14ac:dyDescent="0.2">
      <c r="A146" s="136"/>
      <c r="B146" s="137"/>
      <c r="C146" s="137"/>
      <c r="D146" s="137"/>
    </row>
    <row r="147" spans="1:4" x14ac:dyDescent="0.2">
      <c r="A147" s="136"/>
      <c r="B147" s="137"/>
      <c r="C147" s="137"/>
      <c r="D147" s="137"/>
    </row>
    <row r="148" spans="1:4" x14ac:dyDescent="0.2">
      <c r="A148" s="136"/>
      <c r="B148" s="137"/>
      <c r="C148" s="137"/>
      <c r="D148" s="137"/>
    </row>
    <row r="149" spans="1:4" x14ac:dyDescent="0.2">
      <c r="A149" s="136"/>
      <c r="B149" s="137"/>
      <c r="C149" s="137"/>
      <c r="D149" s="137"/>
    </row>
    <row r="150" spans="1:4" x14ac:dyDescent="0.2">
      <c r="A150" s="136"/>
      <c r="B150" s="137"/>
      <c r="C150" s="137"/>
      <c r="D150" s="137"/>
    </row>
    <row r="151" spans="1:4" x14ac:dyDescent="0.2">
      <c r="A151" s="136"/>
      <c r="B151" s="137"/>
      <c r="C151" s="137"/>
      <c r="D151" s="137"/>
    </row>
    <row r="152" spans="1:4" x14ac:dyDescent="0.2">
      <c r="A152" s="136"/>
      <c r="B152" s="137"/>
      <c r="C152" s="137"/>
      <c r="D152" s="137"/>
    </row>
    <row r="153" spans="1:4" x14ac:dyDescent="0.2">
      <c r="A153" s="136"/>
      <c r="B153" s="137"/>
      <c r="C153" s="137"/>
      <c r="D153" s="137"/>
    </row>
    <row r="154" spans="1:4" x14ac:dyDescent="0.2">
      <c r="A154" s="136"/>
      <c r="B154" s="137"/>
      <c r="C154" s="137"/>
      <c r="D154" s="137"/>
    </row>
    <row r="155" spans="1:4" x14ac:dyDescent="0.2">
      <c r="A155" s="136"/>
      <c r="B155" s="137"/>
      <c r="C155" s="137"/>
      <c r="D155" s="137"/>
    </row>
    <row r="156" spans="1:4" x14ac:dyDescent="0.2">
      <c r="A156" s="136"/>
      <c r="B156" s="137"/>
      <c r="C156" s="137"/>
      <c r="D156" s="137"/>
    </row>
    <row r="157" spans="1:4" x14ac:dyDescent="0.2">
      <c r="A157" s="136"/>
      <c r="B157" s="137"/>
      <c r="C157" s="137"/>
      <c r="D157" s="137"/>
    </row>
    <row r="158" spans="1:4" x14ac:dyDescent="0.2">
      <c r="A158" s="136"/>
      <c r="B158" s="137"/>
      <c r="C158" s="137"/>
      <c r="D158" s="137"/>
    </row>
    <row r="159" spans="1:4" x14ac:dyDescent="0.2">
      <c r="A159" s="136"/>
      <c r="B159" s="137"/>
      <c r="C159" s="137"/>
      <c r="D159" s="137"/>
    </row>
    <row r="160" spans="1:4" x14ac:dyDescent="0.2">
      <c r="A160" s="136"/>
      <c r="B160" s="137"/>
      <c r="C160" s="137"/>
      <c r="D160" s="137"/>
    </row>
    <row r="161" spans="1:4" x14ac:dyDescent="0.2">
      <c r="A161" s="136"/>
      <c r="B161" s="137"/>
      <c r="C161" s="137"/>
      <c r="D161" s="137"/>
    </row>
    <row r="162" spans="1:4" x14ac:dyDescent="0.2">
      <c r="A162" s="136"/>
      <c r="B162" s="137"/>
      <c r="C162" s="137"/>
      <c r="D162" s="137"/>
    </row>
    <row r="163" spans="1:4" x14ac:dyDescent="0.2">
      <c r="A163" s="136"/>
      <c r="B163" s="137"/>
      <c r="C163" s="137"/>
      <c r="D163" s="137"/>
    </row>
    <row r="164" spans="1:4" x14ac:dyDescent="0.2">
      <c r="A164" s="136"/>
      <c r="B164" s="137"/>
      <c r="C164" s="137"/>
      <c r="D164" s="137"/>
    </row>
    <row r="165" spans="1:4" x14ac:dyDescent="0.2">
      <c r="A165" s="136"/>
      <c r="B165" s="137"/>
      <c r="C165" s="137"/>
      <c r="D165" s="137"/>
    </row>
    <row r="166" spans="1:4" x14ac:dyDescent="0.2">
      <c r="A166" s="136"/>
      <c r="B166" s="137"/>
      <c r="C166" s="137"/>
      <c r="D166" s="137"/>
    </row>
    <row r="167" spans="1:4" x14ac:dyDescent="0.2">
      <c r="A167" s="136"/>
      <c r="B167" s="137"/>
      <c r="C167" s="137"/>
      <c r="D167" s="137"/>
    </row>
    <row r="168" spans="1:4" x14ac:dyDescent="0.2">
      <c r="A168" s="136"/>
      <c r="B168" s="137"/>
      <c r="C168" s="137"/>
      <c r="D168" s="137"/>
    </row>
    <row r="169" spans="1:4" x14ac:dyDescent="0.2">
      <c r="A169" s="136"/>
      <c r="B169" s="137"/>
      <c r="C169" s="137"/>
      <c r="D169" s="137"/>
    </row>
    <row r="170" spans="1:4" x14ac:dyDescent="0.2">
      <c r="A170" s="136"/>
      <c r="B170" s="137"/>
      <c r="C170" s="137"/>
      <c r="D170" s="137"/>
    </row>
    <row r="171" spans="1:4" x14ac:dyDescent="0.2">
      <c r="A171" s="136"/>
      <c r="B171" s="137"/>
      <c r="C171" s="137"/>
      <c r="D171" s="137"/>
    </row>
    <row r="172" spans="1:4" x14ac:dyDescent="0.2">
      <c r="A172" s="136"/>
      <c r="B172" s="137"/>
      <c r="C172" s="137"/>
      <c r="D172" s="137"/>
    </row>
    <row r="173" spans="1:4" x14ac:dyDescent="0.2">
      <c r="A173" s="136"/>
      <c r="B173" s="137"/>
      <c r="C173" s="137"/>
      <c r="D173" s="137"/>
    </row>
    <row r="174" spans="1:4" x14ac:dyDescent="0.2">
      <c r="A174" s="136"/>
      <c r="B174" s="137"/>
      <c r="C174" s="137"/>
      <c r="D174" s="137"/>
    </row>
    <row r="175" spans="1:4" x14ac:dyDescent="0.2">
      <c r="A175" s="136"/>
      <c r="B175" s="137"/>
      <c r="C175" s="137"/>
      <c r="D175" s="137"/>
    </row>
    <row r="176" spans="1:4" x14ac:dyDescent="0.2">
      <c r="A176" s="136"/>
      <c r="B176" s="137"/>
      <c r="C176" s="137"/>
      <c r="D176" s="137"/>
    </row>
    <row r="177" spans="1:4" x14ac:dyDescent="0.2">
      <c r="A177" s="136"/>
      <c r="B177" s="137"/>
      <c r="C177" s="137"/>
      <c r="D177" s="137"/>
    </row>
    <row r="178" spans="1:4" x14ac:dyDescent="0.2">
      <c r="A178" s="136"/>
      <c r="B178" s="137"/>
      <c r="C178" s="137"/>
      <c r="D178" s="137"/>
    </row>
    <row r="179" spans="1:4" x14ac:dyDescent="0.2">
      <c r="A179" s="136"/>
      <c r="B179" s="137"/>
      <c r="C179" s="137"/>
      <c r="D179" s="137"/>
    </row>
    <row r="180" spans="1:4" x14ac:dyDescent="0.2">
      <c r="A180" s="136"/>
      <c r="B180" s="137"/>
      <c r="C180" s="137"/>
      <c r="D180" s="137"/>
    </row>
    <row r="181" spans="1:4" x14ac:dyDescent="0.2">
      <c r="A181" s="136"/>
      <c r="B181" s="137"/>
      <c r="C181" s="137"/>
      <c r="D181" s="137"/>
    </row>
    <row r="182" spans="1:4" x14ac:dyDescent="0.2">
      <c r="A182" s="136"/>
      <c r="B182" s="137"/>
      <c r="C182" s="137"/>
      <c r="D182" s="137"/>
    </row>
    <row r="183" spans="1:4" x14ac:dyDescent="0.2">
      <c r="A183" s="136"/>
      <c r="B183" s="137"/>
      <c r="C183" s="137"/>
      <c r="D183" s="137"/>
    </row>
    <row r="184" spans="1:4" x14ac:dyDescent="0.2">
      <c r="A184" s="136"/>
      <c r="B184" s="137"/>
      <c r="C184" s="137"/>
      <c r="D184" s="137"/>
    </row>
    <row r="185" spans="1:4" x14ac:dyDescent="0.2">
      <c r="A185" s="136"/>
      <c r="B185" s="137"/>
      <c r="C185" s="137"/>
      <c r="D185" s="137"/>
    </row>
    <row r="186" spans="1:4" x14ac:dyDescent="0.2">
      <c r="A186" s="136"/>
      <c r="B186" s="137"/>
      <c r="C186" s="137"/>
      <c r="D186" s="137"/>
    </row>
    <row r="187" spans="1:4" x14ac:dyDescent="0.2">
      <c r="A187" s="136"/>
      <c r="B187" s="137"/>
      <c r="C187" s="137"/>
      <c r="D187" s="137"/>
    </row>
    <row r="188" spans="1:4" x14ac:dyDescent="0.2">
      <c r="A188" s="136"/>
      <c r="B188" s="137"/>
      <c r="C188" s="137"/>
      <c r="D188" s="137"/>
    </row>
    <row r="189" spans="1:4" x14ac:dyDescent="0.2">
      <c r="A189" s="136"/>
      <c r="B189" s="137"/>
      <c r="C189" s="137"/>
      <c r="D189" s="137"/>
    </row>
    <row r="190" spans="1:4" x14ac:dyDescent="0.2">
      <c r="A190" s="136"/>
      <c r="B190" s="137"/>
      <c r="C190" s="137"/>
      <c r="D190" s="137"/>
    </row>
    <row r="191" spans="1:4" x14ac:dyDescent="0.2">
      <c r="A191" s="136"/>
      <c r="B191" s="137"/>
      <c r="C191" s="137"/>
      <c r="D191" s="137"/>
    </row>
    <row r="192" spans="1:4" x14ac:dyDescent="0.2">
      <c r="A192" s="136"/>
      <c r="B192" s="137"/>
      <c r="C192" s="137"/>
      <c r="D192" s="137"/>
    </row>
    <row r="193" spans="1:4" x14ac:dyDescent="0.2">
      <c r="A193" s="136"/>
      <c r="B193" s="137"/>
      <c r="C193" s="137"/>
      <c r="D193" s="137"/>
    </row>
    <row r="194" spans="1:4" x14ac:dyDescent="0.2">
      <c r="A194" s="136"/>
      <c r="B194" s="137"/>
      <c r="C194" s="137"/>
      <c r="D194" s="137"/>
    </row>
    <row r="195" spans="1:4" x14ac:dyDescent="0.2">
      <c r="A195" s="136"/>
      <c r="B195" s="137"/>
      <c r="C195" s="137"/>
      <c r="D195" s="137"/>
    </row>
    <row r="196" spans="1:4" x14ac:dyDescent="0.2">
      <c r="A196" s="136"/>
      <c r="B196" s="137"/>
      <c r="C196" s="137"/>
      <c r="D196" s="137"/>
    </row>
    <row r="197" spans="1:4" x14ac:dyDescent="0.2">
      <c r="A197" s="136"/>
      <c r="B197" s="137"/>
      <c r="C197" s="137"/>
      <c r="D197" s="137"/>
    </row>
    <row r="198" spans="1:4" x14ac:dyDescent="0.2">
      <c r="A198" s="136"/>
      <c r="B198" s="137"/>
      <c r="C198" s="137"/>
      <c r="D198" s="137"/>
    </row>
    <row r="199" spans="1:4" x14ac:dyDescent="0.2">
      <c r="A199" s="136"/>
      <c r="B199" s="137"/>
      <c r="C199" s="137"/>
      <c r="D199" s="137"/>
    </row>
    <row r="200" spans="1:4" x14ac:dyDescent="0.2">
      <c r="A200" s="136"/>
      <c r="B200" s="137"/>
      <c r="C200" s="137"/>
      <c r="D200" s="137"/>
    </row>
    <row r="201" spans="1:4" x14ac:dyDescent="0.2">
      <c r="A201" s="136"/>
      <c r="B201" s="137"/>
      <c r="C201" s="137"/>
      <c r="D201" s="137"/>
    </row>
    <row r="202" spans="1:4" x14ac:dyDescent="0.2">
      <c r="A202" s="136"/>
      <c r="B202" s="137"/>
      <c r="C202" s="137"/>
      <c r="D202" s="137"/>
    </row>
    <row r="203" spans="1:4" x14ac:dyDescent="0.2">
      <c r="A203" s="136"/>
      <c r="B203" s="137"/>
      <c r="C203" s="137"/>
      <c r="D203" s="137"/>
    </row>
    <row r="204" spans="1:4" x14ac:dyDescent="0.2">
      <c r="A204" s="136"/>
      <c r="B204" s="137"/>
      <c r="C204" s="137"/>
      <c r="D204" s="137"/>
    </row>
    <row r="205" spans="1:4" x14ac:dyDescent="0.2">
      <c r="A205" s="136"/>
      <c r="B205" s="137"/>
      <c r="C205" s="137"/>
      <c r="D205" s="137"/>
    </row>
    <row r="206" spans="1:4" x14ac:dyDescent="0.2">
      <c r="A206" s="136"/>
      <c r="B206" s="137"/>
      <c r="C206" s="137"/>
      <c r="D206" s="137"/>
    </row>
    <row r="207" spans="1:4" x14ac:dyDescent="0.2">
      <c r="A207" s="136"/>
      <c r="B207" s="137"/>
      <c r="C207" s="137"/>
      <c r="D207" s="137"/>
    </row>
    <row r="208" spans="1:4" x14ac:dyDescent="0.2">
      <c r="A208" s="136"/>
      <c r="B208" s="137"/>
      <c r="C208" s="137"/>
      <c r="D208" s="137"/>
    </row>
    <row r="209" spans="1:4" x14ac:dyDescent="0.2">
      <c r="A209" s="136"/>
      <c r="B209" s="137"/>
      <c r="C209" s="137"/>
      <c r="D209" s="137"/>
    </row>
    <row r="210" spans="1:4" x14ac:dyDescent="0.2">
      <c r="A210" s="136"/>
      <c r="B210" s="137"/>
      <c r="C210" s="137"/>
      <c r="D210" s="137"/>
    </row>
    <row r="211" spans="1:4" x14ac:dyDescent="0.2">
      <c r="A211" s="136"/>
      <c r="B211" s="137"/>
      <c r="C211" s="137"/>
      <c r="D211" s="137"/>
    </row>
    <row r="212" spans="1:4" x14ac:dyDescent="0.2">
      <c r="A212" s="136"/>
      <c r="B212" s="137"/>
      <c r="C212" s="137"/>
      <c r="D212" s="137"/>
    </row>
    <row r="213" spans="1:4" x14ac:dyDescent="0.2">
      <c r="A213" s="136"/>
      <c r="B213" s="137"/>
      <c r="C213" s="137"/>
      <c r="D213" s="137"/>
    </row>
    <row r="214" spans="1:4" x14ac:dyDescent="0.2">
      <c r="A214" s="136"/>
      <c r="B214" s="137"/>
      <c r="C214" s="137"/>
      <c r="D214" s="137"/>
    </row>
    <row r="215" spans="1:4" x14ac:dyDescent="0.2">
      <c r="A215" s="136"/>
      <c r="B215" s="137"/>
      <c r="C215" s="137"/>
      <c r="D215" s="137"/>
    </row>
    <row r="216" spans="1:4" x14ac:dyDescent="0.2">
      <c r="A216" s="136"/>
      <c r="B216" s="137"/>
      <c r="C216" s="137"/>
      <c r="D216" s="137"/>
    </row>
    <row r="217" spans="1:4" x14ac:dyDescent="0.2">
      <c r="A217" s="136"/>
      <c r="B217" s="137"/>
      <c r="C217" s="137"/>
      <c r="D217" s="137"/>
    </row>
    <row r="218" spans="1:4" x14ac:dyDescent="0.2">
      <c r="A218" s="136"/>
      <c r="B218" s="137"/>
      <c r="C218" s="137"/>
      <c r="D218" s="137"/>
    </row>
    <row r="219" spans="1:4" x14ac:dyDescent="0.2">
      <c r="A219" s="136"/>
      <c r="B219" s="137"/>
      <c r="C219" s="137"/>
      <c r="D219" s="137"/>
    </row>
    <row r="220" spans="1:4" x14ac:dyDescent="0.2">
      <c r="A220" s="136"/>
      <c r="B220" s="137"/>
      <c r="C220" s="137"/>
      <c r="D220" s="137"/>
    </row>
    <row r="221" spans="1:4" x14ac:dyDescent="0.2">
      <c r="A221" s="136"/>
      <c r="B221" s="137"/>
      <c r="C221" s="137"/>
      <c r="D221" s="137"/>
    </row>
    <row r="222" spans="1:4" x14ac:dyDescent="0.2">
      <c r="A222" s="136"/>
      <c r="B222" s="137"/>
      <c r="C222" s="137"/>
      <c r="D222" s="137"/>
    </row>
    <row r="223" spans="1:4" x14ac:dyDescent="0.2">
      <c r="A223" s="136"/>
      <c r="B223" s="137"/>
      <c r="C223" s="137"/>
      <c r="D223" s="137"/>
    </row>
    <row r="224" spans="1:4" x14ac:dyDescent="0.2">
      <c r="A224" s="136"/>
      <c r="B224" s="137"/>
      <c r="C224" s="137"/>
      <c r="D224" s="137"/>
    </row>
    <row r="225" spans="1:5" x14ac:dyDescent="0.2">
      <c r="A225" s="136"/>
      <c r="B225" s="137"/>
      <c r="C225" s="137"/>
      <c r="D225" s="137"/>
    </row>
    <row r="226" spans="1:5" x14ac:dyDescent="0.2">
      <c r="A226" s="136"/>
      <c r="B226" s="137"/>
      <c r="C226" s="137"/>
      <c r="D226" s="137"/>
    </row>
    <row r="227" spans="1:5" x14ac:dyDescent="0.2">
      <c r="A227" s="136"/>
      <c r="B227" s="137"/>
      <c r="C227" s="137"/>
      <c r="D227" s="137"/>
    </row>
    <row r="228" spans="1:5" x14ac:dyDescent="0.2">
      <c r="A228" s="136"/>
      <c r="B228" s="137"/>
      <c r="C228" s="137"/>
      <c r="D228" s="137"/>
    </row>
    <row r="229" spans="1:5" x14ac:dyDescent="0.2">
      <c r="A229" s="136"/>
      <c r="B229" s="137"/>
      <c r="C229" s="137"/>
      <c r="D229" s="137"/>
    </row>
    <row r="230" spans="1:5" x14ac:dyDescent="0.2">
      <c r="A230" s="136"/>
      <c r="B230" s="137"/>
      <c r="C230" s="137"/>
      <c r="D230" s="137"/>
      <c r="E230" s="137"/>
    </row>
    <row r="231" spans="1:5" x14ac:dyDescent="0.2">
      <c r="A231" s="136"/>
      <c r="B231" s="137"/>
      <c r="C231" s="137"/>
      <c r="D231" s="137"/>
      <c r="E231" s="137"/>
    </row>
    <row r="232" spans="1:5" x14ac:dyDescent="0.2">
      <c r="A232" s="136"/>
      <c r="B232" s="137"/>
      <c r="C232" s="137"/>
      <c r="D232" s="137"/>
      <c r="E232" s="137"/>
    </row>
    <row r="233" spans="1:5" x14ac:dyDescent="0.2">
      <c r="A233" s="136"/>
      <c r="B233" s="137"/>
      <c r="C233" s="137"/>
      <c r="D233" s="137"/>
      <c r="E233" s="137"/>
    </row>
    <row r="234" spans="1:5" x14ac:dyDescent="0.2">
      <c r="A234" s="136"/>
      <c r="B234" s="137"/>
      <c r="C234" s="137"/>
      <c r="D234" s="137"/>
      <c r="E234" s="137"/>
    </row>
    <row r="235" spans="1:5" x14ac:dyDescent="0.2">
      <c r="A235" s="136"/>
      <c r="B235" s="137"/>
      <c r="C235" s="137"/>
      <c r="D235" s="137"/>
      <c r="E235" s="137"/>
    </row>
    <row r="236" spans="1:5" x14ac:dyDescent="0.2">
      <c r="A236" s="136"/>
      <c r="B236" s="137"/>
      <c r="C236" s="137"/>
      <c r="D236" s="137"/>
      <c r="E236" s="137"/>
    </row>
    <row r="237" spans="1:5" x14ac:dyDescent="0.2">
      <c r="A237" s="136"/>
      <c r="B237" s="137"/>
      <c r="C237" s="137"/>
      <c r="D237" s="137"/>
      <c r="E237" s="137"/>
    </row>
    <row r="238" spans="1:5" x14ac:dyDescent="0.2">
      <c r="A238" s="136"/>
      <c r="B238" s="137"/>
      <c r="C238" s="137"/>
      <c r="D238" s="137"/>
      <c r="E238" s="137"/>
    </row>
    <row r="239" spans="1:5" x14ac:dyDescent="0.2">
      <c r="A239" s="136"/>
      <c r="B239" s="137"/>
      <c r="C239" s="137"/>
      <c r="D239" s="137"/>
      <c r="E239" s="137"/>
    </row>
    <row r="240" spans="1:5" x14ac:dyDescent="0.2">
      <c r="A240" s="136"/>
      <c r="B240" s="137"/>
      <c r="C240" s="137"/>
      <c r="D240" s="137"/>
      <c r="E240" s="137"/>
    </row>
    <row r="241" spans="1:5" x14ac:dyDescent="0.2">
      <c r="A241" s="136"/>
      <c r="B241" s="137"/>
      <c r="C241" s="137"/>
      <c r="D241" s="137"/>
      <c r="E241" s="137"/>
    </row>
    <row r="242" spans="1:5" x14ac:dyDescent="0.2">
      <c r="A242" s="136"/>
      <c r="B242" s="137"/>
      <c r="C242" s="137"/>
      <c r="D242" s="137"/>
      <c r="E242" s="137"/>
    </row>
    <row r="243" spans="1:5" x14ac:dyDescent="0.2">
      <c r="A243" s="136"/>
      <c r="B243" s="137"/>
      <c r="C243" s="137"/>
      <c r="D243" s="137"/>
      <c r="E243" s="137"/>
    </row>
    <row r="244" spans="1:5" x14ac:dyDescent="0.2">
      <c r="A244" s="136"/>
      <c r="B244" s="137"/>
      <c r="C244" s="137"/>
      <c r="D244" s="137"/>
      <c r="E244" s="137"/>
    </row>
    <row r="245" spans="1:5" x14ac:dyDescent="0.2">
      <c r="A245" s="136"/>
      <c r="B245" s="137"/>
      <c r="C245" s="137"/>
      <c r="D245" s="137"/>
      <c r="E245" s="137"/>
    </row>
    <row r="246" spans="1:5" x14ac:dyDescent="0.2">
      <c r="A246" s="136"/>
      <c r="B246" s="137"/>
      <c r="C246" s="137"/>
      <c r="D246" s="137"/>
      <c r="E246" s="137"/>
    </row>
    <row r="247" spans="1:5" x14ac:dyDescent="0.2">
      <c r="A247" s="136"/>
      <c r="B247" s="137"/>
      <c r="C247" s="137"/>
      <c r="D247" s="137"/>
      <c r="E247" s="137"/>
    </row>
    <row r="248" spans="1:5" x14ac:dyDescent="0.2">
      <c r="A248" s="136"/>
      <c r="B248" s="137"/>
      <c r="C248" s="137"/>
      <c r="D248" s="137"/>
      <c r="E248" s="137"/>
    </row>
    <row r="249" spans="1:5" x14ac:dyDescent="0.2">
      <c r="A249" s="136"/>
      <c r="B249" s="137"/>
      <c r="C249" s="137"/>
      <c r="D249" s="137"/>
      <c r="E249" s="137"/>
    </row>
    <row r="250" spans="1:5" x14ac:dyDescent="0.2">
      <c r="A250" s="136"/>
      <c r="B250" s="137"/>
      <c r="C250" s="137"/>
      <c r="D250" s="137"/>
      <c r="E250" s="137"/>
    </row>
    <row r="251" spans="1:5" x14ac:dyDescent="0.2">
      <c r="A251" s="136"/>
      <c r="B251" s="137"/>
      <c r="C251" s="137"/>
      <c r="D251" s="137"/>
      <c r="E251" s="137"/>
    </row>
    <row r="252" spans="1:5" x14ac:dyDescent="0.2">
      <c r="A252" s="136"/>
      <c r="B252" s="137"/>
      <c r="C252" s="137"/>
      <c r="D252" s="137"/>
      <c r="E252" s="137"/>
    </row>
    <row r="253" spans="1:5" x14ac:dyDescent="0.2">
      <c r="A253" s="136"/>
      <c r="B253" s="137"/>
      <c r="C253" s="137"/>
      <c r="D253" s="137"/>
      <c r="E253" s="137"/>
    </row>
    <row r="254" spans="1:5" x14ac:dyDescent="0.2">
      <c r="A254" s="136"/>
      <c r="B254" s="137"/>
      <c r="C254" s="137"/>
      <c r="D254" s="137"/>
      <c r="E254" s="137"/>
    </row>
    <row r="255" spans="1:5" x14ac:dyDescent="0.2">
      <c r="A255" s="136"/>
      <c r="B255" s="137"/>
      <c r="C255" s="137"/>
      <c r="D255" s="137"/>
      <c r="E255" s="137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7"/>
  <sheetViews>
    <sheetView showGridLines="0" tabSelected="1" topLeftCell="A10" zoomScale="90" zoomScaleNormal="90" workbookViewId="0">
      <selection activeCell="Q15" sqref="Q15"/>
    </sheetView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7" t="s">
        <v>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.25" x14ac:dyDescent="0.2">
      <c r="A2" s="38"/>
      <c r="B2" s="161" t="s">
        <v>27</v>
      </c>
      <c r="C2" s="161"/>
      <c r="D2" s="40" t="s">
        <v>30</v>
      </c>
      <c r="E2" s="161" t="s">
        <v>92</v>
      </c>
      <c r="F2" s="161"/>
      <c r="G2" s="161"/>
      <c r="H2" s="161"/>
      <c r="I2" s="41"/>
      <c r="J2" s="161" t="s">
        <v>70</v>
      </c>
      <c r="K2" s="161"/>
      <c r="L2" s="161"/>
      <c r="M2" s="161"/>
      <c r="N2" s="38"/>
    </row>
    <row r="3" spans="1:14" ht="14.25" x14ac:dyDescent="0.2">
      <c r="A3" s="38" t="s">
        <v>84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72</v>
      </c>
      <c r="K3" s="42" t="s">
        <v>101</v>
      </c>
      <c r="L3" s="42"/>
      <c r="M3" s="42"/>
      <c r="N3" s="42" t="s">
        <v>6</v>
      </c>
    </row>
    <row r="4" spans="1:14" ht="14.25" x14ac:dyDescent="0.2">
      <c r="A4" s="43" t="s">
        <v>88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25" x14ac:dyDescent="0.2">
      <c r="A5" s="38"/>
      <c r="B5" s="159" t="s">
        <v>93</v>
      </c>
      <c r="C5" s="160"/>
      <c r="D5" s="48" t="s">
        <v>75</v>
      </c>
      <c r="E5" s="159" t="s">
        <v>95</v>
      </c>
      <c r="F5" s="159"/>
      <c r="G5" s="159"/>
      <c r="H5" s="159"/>
      <c r="I5" s="159"/>
      <c r="J5" s="159"/>
      <c r="K5" s="159"/>
      <c r="L5" s="159"/>
      <c r="M5" s="159"/>
      <c r="N5" s="159"/>
    </row>
    <row r="6" spans="1:14" ht="16.5" x14ac:dyDescent="0.2">
      <c r="A6" s="38" t="s">
        <v>126</v>
      </c>
      <c r="B6" s="49">
        <v>83.453000000000003</v>
      </c>
      <c r="C6" s="49">
        <v>82.706000000000003</v>
      </c>
      <c r="D6" s="49">
        <f>+F6/C6</f>
        <v>51.949024254588544</v>
      </c>
      <c r="E6" s="50">
        <v>196.72900000000001</v>
      </c>
      <c r="F6" s="51">
        <v>4296.4960000000001</v>
      </c>
      <c r="G6" s="52">
        <v>22.280875923872998</v>
      </c>
      <c r="H6" s="52">
        <f>SUM(E6:G6)</f>
        <v>4515.5058759238736</v>
      </c>
      <c r="I6" s="38"/>
      <c r="J6" s="51">
        <v>1901.1980666666668</v>
      </c>
      <c r="K6" s="51">
        <f>M6-J6-L6</f>
        <v>146.29582285110291</v>
      </c>
      <c r="L6" s="52">
        <v>2166.4169864061037</v>
      </c>
      <c r="M6" s="52">
        <f>+H6-N6</f>
        <v>4213.9108759238734</v>
      </c>
      <c r="N6" s="52">
        <v>301.59500000000003</v>
      </c>
    </row>
    <row r="7" spans="1:14" ht="16.5" x14ac:dyDescent="0.2">
      <c r="A7" s="38" t="s">
        <v>127</v>
      </c>
      <c r="B7" s="49">
        <v>90.162000000000006</v>
      </c>
      <c r="C7" s="49">
        <v>89.542000000000002</v>
      </c>
      <c r="D7" s="49">
        <f>+F7/C7</f>
        <v>49.268868240602174</v>
      </c>
      <c r="E7" s="50">
        <f>N6</f>
        <v>301.59500000000003</v>
      </c>
      <c r="F7" s="51">
        <f>F28</f>
        <v>4411.6329999999998</v>
      </c>
      <c r="G7" s="52">
        <f>G28</f>
        <v>21.821877959229603</v>
      </c>
      <c r="H7" s="52">
        <f>SUM(E7:G7)</f>
        <v>4735.0498779592299</v>
      </c>
      <c r="I7" s="38"/>
      <c r="J7" s="51">
        <f>J28</f>
        <v>2054.9319999999998</v>
      </c>
      <c r="K7" s="51">
        <f>M7-J7-L7</f>
        <v>112.91233346246372</v>
      </c>
      <c r="L7" s="52">
        <f>L28</f>
        <v>2129.1005444967659</v>
      </c>
      <c r="M7" s="52">
        <f>+H7-N7</f>
        <v>4296.9448779592294</v>
      </c>
      <c r="N7" s="52">
        <f>N27</f>
        <v>438.10500000000002</v>
      </c>
    </row>
    <row r="8" spans="1:14" ht="16.5" x14ac:dyDescent="0.2">
      <c r="A8" s="38" t="s">
        <v>166</v>
      </c>
      <c r="B8" s="49">
        <v>89.195999999999998</v>
      </c>
      <c r="C8" s="49">
        <v>88.11</v>
      </c>
      <c r="D8" s="49">
        <f>+F8/C8</f>
        <v>51.570570877312448</v>
      </c>
      <c r="E8" s="50">
        <f>N7</f>
        <v>438.10500000000002</v>
      </c>
      <c r="F8" s="51">
        <f>F36</f>
        <v>4543.8829999999998</v>
      </c>
      <c r="G8" s="52">
        <v>20</v>
      </c>
      <c r="H8" s="52">
        <f>SUM(E8:G8)</f>
        <v>5001.9879999999994</v>
      </c>
      <c r="I8" s="38"/>
      <c r="J8" s="51">
        <v>2090</v>
      </c>
      <c r="K8" s="51">
        <f>M8-J8-L8</f>
        <v>126.98799999999937</v>
      </c>
      <c r="L8" s="52">
        <v>1875</v>
      </c>
      <c r="M8" s="52">
        <f>+H8-N8</f>
        <v>4091.9879999999994</v>
      </c>
      <c r="N8" s="52">
        <v>910</v>
      </c>
    </row>
    <row r="9" spans="1:14" ht="14.25" x14ac:dyDescent="0.2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4.25" x14ac:dyDescent="0.2">
      <c r="A10" s="41" t="s">
        <v>74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8.75" customHeight="1" x14ac:dyDescent="0.2">
      <c r="A11" s="38" t="s">
        <v>121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8.75" customHeight="1" x14ac:dyDescent="0.2">
      <c r="A12" s="38" t="s">
        <v>104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(42.579358+4422.864)*2.204622/60</f>
        <v>164.07691111334458</v>
      </c>
      <c r="M12" s="59"/>
      <c r="N12" s="60"/>
    </row>
    <row r="13" spans="1:14" ht="18.75" customHeight="1" x14ac:dyDescent="0.2">
      <c r="A13" s="41" t="s">
        <v>110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(65.402074+9580.077)*2.204622/60</f>
        <v>354.41058945133381</v>
      </c>
      <c r="M13" s="58"/>
      <c r="N13" s="62"/>
    </row>
    <row r="14" spans="1:14" ht="18.75" customHeight="1" x14ac:dyDescent="0.2">
      <c r="A14" s="41" t="s">
        <v>112</v>
      </c>
      <c r="B14" s="41"/>
      <c r="C14" s="41"/>
      <c r="D14" s="41"/>
      <c r="E14" s="56"/>
      <c r="F14" s="58"/>
      <c r="G14" s="59">
        <f>(14.834995+18.210518+5.828672)*2.204622/60</f>
        <v>1.4283813913845</v>
      </c>
      <c r="H14" s="60"/>
      <c r="I14" s="60"/>
      <c r="J14" s="60">
        <f>5.200462*2000/60</f>
        <v>173.34873333333331</v>
      </c>
      <c r="K14" s="61"/>
      <c r="L14" s="59">
        <f>(75.780013+9113.39)*2.204622/60</f>
        <v>337.64410620666808</v>
      </c>
      <c r="M14" s="58"/>
      <c r="N14" s="62"/>
    </row>
    <row r="15" spans="1:14" ht="18.75" customHeight="1" x14ac:dyDescent="0.2">
      <c r="A15" s="41" t="s">
        <v>80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5.6218014956103</v>
      </c>
      <c r="H15" s="60">
        <f>SUM(E15:G15)</f>
        <v>4718.8498014956103</v>
      </c>
      <c r="I15" s="60"/>
      <c r="J15" s="60">
        <f>J12+J13+J14</f>
        <v>494.63553333333329</v>
      </c>
      <c r="K15" s="61">
        <f>M15-L15-J15</f>
        <v>207.40366139093049</v>
      </c>
      <c r="L15" s="59">
        <f>L12+L13+L14</f>
        <v>856.13160677134647</v>
      </c>
      <c r="M15" s="59">
        <f>H15-N15</f>
        <v>1558.1708014956102</v>
      </c>
      <c r="N15" s="60">
        <v>3160.6790000000001</v>
      </c>
    </row>
    <row r="16" spans="1:14" ht="18.75" customHeight="1" x14ac:dyDescent="0.2">
      <c r="A16" s="38" t="s">
        <v>113</v>
      </c>
      <c r="B16" s="41"/>
      <c r="C16" s="41"/>
      <c r="D16" s="41"/>
      <c r="E16" s="56"/>
      <c r="F16" s="58"/>
      <c r="G16" s="59">
        <f>(2.700212+43.931585+16.786283)*2.204622/60</f>
        <v>2.3302149060960002</v>
      </c>
      <c r="H16" s="60"/>
      <c r="I16" s="60"/>
      <c r="J16" s="60">
        <f>5.290215*2000/60</f>
        <v>176.34049999999999</v>
      </c>
      <c r="K16" s="61"/>
      <c r="L16" s="59">
        <f>(67.748059+6154.493)*2.204622/60</f>
        <v>228.6281587995783</v>
      </c>
      <c r="M16" s="59"/>
      <c r="N16" s="62"/>
    </row>
    <row r="17" spans="1:15" ht="18.75" customHeight="1" x14ac:dyDescent="0.2">
      <c r="A17" s="38" t="s">
        <v>114</v>
      </c>
      <c r="B17" s="41"/>
      <c r="C17" s="41"/>
      <c r="D17" s="41"/>
      <c r="E17" s="56"/>
      <c r="F17" s="58"/>
      <c r="G17" s="59">
        <f>(1.972522+31.466905+6.367872)*2.204622/60</f>
        <v>1.4626674522662999</v>
      </c>
      <c r="H17" s="60"/>
      <c r="I17" s="60"/>
      <c r="J17" s="60">
        <f>5.239827*2000/60</f>
        <v>174.6609</v>
      </c>
      <c r="K17" s="59"/>
      <c r="L17" s="59">
        <f>(51.851798+5711.005)*2.204622/60</f>
        <v>211.7486813286726</v>
      </c>
      <c r="M17" s="58"/>
      <c r="N17" s="62"/>
    </row>
    <row r="18" spans="1:15" ht="18.75" customHeight="1" x14ac:dyDescent="0.2">
      <c r="A18" s="38" t="s">
        <v>115</v>
      </c>
      <c r="B18" s="41"/>
      <c r="C18" s="41"/>
      <c r="D18" s="41"/>
      <c r="E18" s="56"/>
      <c r="F18" s="58"/>
      <c r="G18" s="59">
        <f>(2.319904+15.767762+14.02578)*2.204622/60</f>
        <v>1.1799668257901998</v>
      </c>
      <c r="H18" s="60"/>
      <c r="I18" s="60"/>
      <c r="J18" s="60">
        <f>4.948772*2000/60</f>
        <v>164.95906666666667</v>
      </c>
      <c r="K18" s="59"/>
      <c r="L18" s="59">
        <f>(68.682966+4144.142)*2.204622/60</f>
        <v>154.79477670321421</v>
      </c>
      <c r="M18" s="58"/>
      <c r="N18" s="62"/>
    </row>
    <row r="19" spans="1:15" ht="18.75" customHeight="1" x14ac:dyDescent="0.2">
      <c r="A19" s="38" t="s">
        <v>81</v>
      </c>
      <c r="B19" s="41"/>
      <c r="C19" s="41"/>
      <c r="D19" s="41"/>
      <c r="E19" s="56">
        <f>N15</f>
        <v>3160.6790000000001</v>
      </c>
      <c r="F19" s="63"/>
      <c r="G19" s="59">
        <f>SUM(G16:G18)</f>
        <v>4.9728491841525004</v>
      </c>
      <c r="H19" s="60">
        <f>E19+F19+G19</f>
        <v>3165.6518491841525</v>
      </c>
      <c r="I19" s="60"/>
      <c r="J19" s="60">
        <f>SUM(J16:J18)</f>
        <v>515.96046666666666</v>
      </c>
      <c r="K19" s="64">
        <f>M19-L19-J19</f>
        <v>-54.783234313979165</v>
      </c>
      <c r="L19" s="59">
        <f>SUM(L16:L18)</f>
        <v>595.17161683146514</v>
      </c>
      <c r="M19" s="59">
        <f>H19-N19</f>
        <v>1056.3488491841526</v>
      </c>
      <c r="N19" s="60">
        <v>2109.3029999999999</v>
      </c>
    </row>
    <row r="20" spans="1:15" ht="18.75" customHeight="1" x14ac:dyDescent="0.2">
      <c r="A20" s="38" t="s">
        <v>116</v>
      </c>
      <c r="B20" s="41"/>
      <c r="C20" s="41"/>
      <c r="D20" s="41"/>
      <c r="E20" s="56"/>
      <c r="F20" s="63"/>
      <c r="G20" s="59">
        <f>(15.718589+36.223498+6.168282)*2.204622/60</f>
        <v>2.1351899654252997</v>
      </c>
      <c r="H20" s="60"/>
      <c r="I20" s="60"/>
      <c r="J20" s="60">
        <f>5.46524*2000/60</f>
        <v>182.17466666666667</v>
      </c>
      <c r="K20" s="64"/>
      <c r="L20" s="59">
        <f>(72.280867+3166.287)*2.204622/60</f>
        <v>118.9969661346879</v>
      </c>
      <c r="M20" s="59"/>
      <c r="N20" s="60"/>
    </row>
    <row r="21" spans="1:15" ht="18.75" customHeight="1" x14ac:dyDescent="0.2">
      <c r="A21" s="38" t="s">
        <v>117</v>
      </c>
      <c r="B21" s="41"/>
      <c r="C21" s="41"/>
      <c r="D21" s="41"/>
      <c r="E21" s="56"/>
      <c r="F21" s="63"/>
      <c r="G21" s="59">
        <f>(9.603402+38.602173+17.683985)*2.204622/60</f>
        <v>2.4210262257720006</v>
      </c>
      <c r="H21" s="60"/>
      <c r="I21" s="60"/>
      <c r="J21" s="60">
        <f>5.149147*2000/60</f>
        <v>171.63823333333332</v>
      </c>
      <c r="K21" s="64"/>
      <c r="L21" s="59">
        <f>(56.404038+2110.962)*2.204622/60</f>
        <v>79.637047490460603</v>
      </c>
      <c r="M21" s="59"/>
      <c r="N21" s="60"/>
    </row>
    <row r="22" spans="1:15" ht="18.75" customHeight="1" x14ac:dyDescent="0.2">
      <c r="A22" s="38" t="s">
        <v>118</v>
      </c>
      <c r="B22" s="41"/>
      <c r="C22" s="41"/>
      <c r="D22" s="41"/>
      <c r="E22" s="56"/>
      <c r="F22" s="63"/>
      <c r="G22" s="59">
        <f>(14.93331+18.49162+17.072273)*2.204622/60</f>
        <v>1.8554540778711002</v>
      </c>
      <c r="H22" s="60"/>
      <c r="I22" s="60"/>
      <c r="J22" s="60">
        <f>5.17404*2000/60</f>
        <v>172.46799999999999</v>
      </c>
      <c r="K22" s="64"/>
      <c r="L22" s="59">
        <f>(50.72778+2940.067)*2.204622/60</f>
        <v>109.892866157886</v>
      </c>
      <c r="M22" s="59"/>
      <c r="N22" s="60"/>
    </row>
    <row r="23" spans="1:15" ht="18.75" customHeight="1" x14ac:dyDescent="0.2">
      <c r="A23" s="38" t="s">
        <v>82</v>
      </c>
      <c r="B23" s="41"/>
      <c r="C23" s="41"/>
      <c r="D23" s="41"/>
      <c r="E23" s="56">
        <f>N19</f>
        <v>2109.3029999999999</v>
      </c>
      <c r="F23" s="63"/>
      <c r="G23" s="59">
        <f>SUM(G20:G22)</f>
        <v>6.4116702690684004</v>
      </c>
      <c r="H23" s="60">
        <f>E23+F23+G23</f>
        <v>2115.7146702690684</v>
      </c>
      <c r="I23" s="60"/>
      <c r="J23" s="60">
        <f>SUM(J20:J22)</f>
        <v>526.28089999999997</v>
      </c>
      <c r="K23" s="64">
        <f>M23-L23-J23</f>
        <v>61.577890486033994</v>
      </c>
      <c r="L23" s="59">
        <f>SUM(L20:L22)</f>
        <v>308.52687978303447</v>
      </c>
      <c r="M23" s="59">
        <f>H23-N23</f>
        <v>896.38567026906844</v>
      </c>
      <c r="N23" s="60">
        <v>1219.329</v>
      </c>
      <c r="O23" s="36"/>
    </row>
    <row r="24" spans="1:15" ht="18.75" customHeight="1" x14ac:dyDescent="0.2">
      <c r="A24" s="38" t="s">
        <v>66</v>
      </c>
      <c r="B24" s="41"/>
      <c r="C24" s="41"/>
      <c r="D24" s="41"/>
      <c r="E24" s="56"/>
      <c r="F24" s="63"/>
      <c r="G24" s="59">
        <f>(15.628801+28.563775+7.569622)*2.204622/60</f>
        <v>1.9019346746526002</v>
      </c>
      <c r="H24" s="60"/>
      <c r="I24" s="60"/>
      <c r="J24" s="60">
        <f>5.086941*2000/60</f>
        <v>169.56470000000002</v>
      </c>
      <c r="K24" s="64"/>
      <c r="L24" s="59">
        <f>(51.253059+3204.53)*2.204622/60</f>
        <v>119.62951598497831</v>
      </c>
      <c r="M24" s="59"/>
      <c r="N24" s="60"/>
    </row>
    <row r="25" spans="1:15" ht="18.75" customHeight="1" x14ac:dyDescent="0.2">
      <c r="A25" s="38" t="s">
        <v>68</v>
      </c>
      <c r="B25" s="41"/>
      <c r="C25" s="41"/>
      <c r="D25" s="41"/>
      <c r="E25" s="56"/>
      <c r="F25" s="63"/>
      <c r="G25" s="59">
        <f>(6.402652+44.065496+8.381982)*2.204622/60</f>
        <v>2.1623715216810004</v>
      </c>
      <c r="H25" s="60"/>
      <c r="I25" s="60"/>
      <c r="J25" s="60">
        <f>5.365828*2000/60</f>
        <v>178.86093333333332</v>
      </c>
      <c r="K25" s="64"/>
      <c r="L25" s="59">
        <f>(68.729166+3357.876)*2.204622/60</f>
        <v>125.90615223795422</v>
      </c>
      <c r="M25" s="59"/>
      <c r="N25" s="60"/>
    </row>
    <row r="26" spans="1:15" ht="18.75" customHeight="1" x14ac:dyDescent="0.2">
      <c r="A26" s="38" t="s">
        <v>69</v>
      </c>
      <c r="B26" s="41"/>
      <c r="C26" s="41"/>
      <c r="D26" s="41"/>
      <c r="E26" s="56"/>
      <c r="F26" s="63"/>
      <c r="G26" s="59">
        <f>(2.00037+12.691678+5.753656)*2.204622/60</f>
        <v>0.75125081406479999</v>
      </c>
      <c r="H26" s="60"/>
      <c r="I26" s="60"/>
      <c r="J26" s="60">
        <f>5.088884*2000/60</f>
        <v>169.62946666666667</v>
      </c>
      <c r="K26" s="64"/>
      <c r="L26" s="59">
        <f>(72.994883+3294.515)*2.204622/60</f>
        <v>123.73477288798709</v>
      </c>
      <c r="M26" s="59"/>
      <c r="N26" s="60"/>
    </row>
    <row r="27" spans="1:15" ht="18.75" customHeight="1" x14ac:dyDescent="0.2">
      <c r="A27" s="65" t="s">
        <v>83</v>
      </c>
      <c r="B27" s="41"/>
      <c r="C27" s="41"/>
      <c r="D27" s="41"/>
      <c r="E27" s="56">
        <f>N23</f>
        <v>1219.329</v>
      </c>
      <c r="F27" s="63"/>
      <c r="G27" s="59">
        <f>SUM(G24:G26)</f>
        <v>4.8155570103984005</v>
      </c>
      <c r="H27" s="60">
        <f>SUM(E27:G27)</f>
        <v>1224.1445570103983</v>
      </c>
      <c r="I27" s="60"/>
      <c r="J27" s="60">
        <f>SUM(J24:J26)</f>
        <v>518.05510000000004</v>
      </c>
      <c r="K27" s="64">
        <f>M27-L27-J27</f>
        <v>-101.28598410052138</v>
      </c>
      <c r="L27" s="59">
        <f>SUM(L24:L26)</f>
        <v>369.27044111091965</v>
      </c>
      <c r="M27" s="59">
        <f>+H27-N27</f>
        <v>786.03955701039831</v>
      </c>
      <c r="N27" s="60">
        <v>438.10500000000002</v>
      </c>
    </row>
    <row r="28" spans="1:15" ht="18.75" customHeight="1" x14ac:dyDescent="0.2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21.821877959229603</v>
      </c>
      <c r="H28" s="60">
        <f>E15+F28+G28</f>
        <v>4735.0498779592299</v>
      </c>
      <c r="I28" s="60"/>
      <c r="J28" s="60">
        <f>J15+J19+J23+J27</f>
        <v>2054.9319999999998</v>
      </c>
      <c r="K28" s="64">
        <f>K15+K19+K23+K27</f>
        <v>112.91233346246395</v>
      </c>
      <c r="L28" s="59">
        <f>L15+L19+L23+L27</f>
        <v>2129.1005444967659</v>
      </c>
      <c r="M28" s="59">
        <f>M15+M19+M23+M27</f>
        <v>4296.9448779592294</v>
      </c>
      <c r="N28" s="60"/>
    </row>
    <row r="29" spans="1:15" ht="14.25" x14ac:dyDescent="0.2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4.25" x14ac:dyDescent="0.2">
      <c r="A30" s="38" t="s">
        <v>168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4.25" x14ac:dyDescent="0.2">
      <c r="A31" s="41" t="s">
        <v>104</v>
      </c>
      <c r="B31" s="41"/>
      <c r="C31" s="41"/>
      <c r="D31" s="41"/>
      <c r="F31" s="58"/>
      <c r="G31" s="59">
        <f>(2.812927+19.605446+5.607091)*2.204622/60</f>
        <v>1.0297592415768002</v>
      </c>
      <c r="H31" s="60"/>
      <c r="I31" s="60"/>
      <c r="J31" s="60">
        <f>5.077532*2000/60</f>
        <v>169.25106666666667</v>
      </c>
      <c r="K31" s="61"/>
      <c r="L31" s="59">
        <f>(121.841427+3115.468)*2.204622/60</f>
        <v>118.95072639285989</v>
      </c>
      <c r="M31" s="59"/>
      <c r="N31" s="62"/>
    </row>
    <row r="32" spans="1:15" ht="14.25" x14ac:dyDescent="0.2">
      <c r="A32" s="41" t="s">
        <v>110</v>
      </c>
      <c r="B32" s="41"/>
      <c r="C32" s="41"/>
      <c r="D32" s="41"/>
      <c r="E32" s="56"/>
      <c r="F32" s="58"/>
      <c r="G32" s="59">
        <f>(3.320708+14.646657+3.156093)*2.204622/60</f>
        <v>0.77615400371459997</v>
      </c>
      <c r="H32" s="60"/>
      <c r="I32" s="60"/>
      <c r="J32" s="60">
        <f>5.506753*2000/60</f>
        <v>183.55843333333331</v>
      </c>
      <c r="K32" s="61"/>
      <c r="L32" s="59">
        <f>(126.144882+5454.001)*2.204622/60</f>
        <v>205.0352062444434</v>
      </c>
      <c r="M32" s="59"/>
      <c r="N32" s="62"/>
    </row>
    <row r="33" spans="1:73" ht="14.25" x14ac:dyDescent="0.2">
      <c r="A33" s="41" t="s">
        <v>112</v>
      </c>
      <c r="B33" s="150"/>
      <c r="C33" s="150"/>
      <c r="D33" s="150"/>
      <c r="E33" s="150"/>
      <c r="F33" s="150"/>
      <c r="G33" s="59">
        <f>(1.859304+43.030142+5.079898)*2.204622/60</f>
        <v>1.8360585851328002</v>
      </c>
      <c r="H33" s="60"/>
      <c r="I33" s="150"/>
      <c r="J33" s="60">
        <f>5.343053*2000/60</f>
        <v>178.10176666666666</v>
      </c>
      <c r="K33" s="150"/>
      <c r="L33" s="59">
        <f>(168.049869+4898.87)*2.204622/60</f>
        <v>186.17738359057532</v>
      </c>
      <c r="M33" s="150"/>
      <c r="N33" s="150"/>
    </row>
    <row r="34" spans="1:73" ht="14.25" x14ac:dyDescent="0.2">
      <c r="A34" s="41" t="s">
        <v>80</v>
      </c>
      <c r="B34" s="150"/>
      <c r="C34" s="150"/>
      <c r="D34" s="150"/>
      <c r="E34" s="56">
        <f>N27</f>
        <v>438.10500000000002</v>
      </c>
      <c r="F34" s="58">
        <v>4543.8829999999998</v>
      </c>
      <c r="G34" s="59">
        <f>G31+G32+G33</f>
        <v>3.6419718304242004</v>
      </c>
      <c r="H34" s="60">
        <f t="shared" ref="H34" si="0">SUM(E34:G34)</f>
        <v>4985.6299718304235</v>
      </c>
      <c r="I34" s="150"/>
      <c r="J34" s="60">
        <f>J31+J32+J33</f>
        <v>530.91126666666662</v>
      </c>
      <c r="K34" s="61">
        <f>M34-L34-J34</f>
        <v>208.34338893587835</v>
      </c>
      <c r="L34" s="59">
        <f>L31+L32+L33</f>
        <v>510.16331622787857</v>
      </c>
      <c r="M34" s="59">
        <f>H34-N34</f>
        <v>1249.4179718304235</v>
      </c>
      <c r="N34" s="60">
        <v>3736.212</v>
      </c>
    </row>
    <row r="35" spans="1:73" ht="14.25" x14ac:dyDescent="0.2">
      <c r="A35" s="38" t="s">
        <v>113</v>
      </c>
      <c r="B35" s="150"/>
      <c r="C35" s="150"/>
      <c r="D35" s="150"/>
      <c r="E35" s="56"/>
      <c r="F35" s="58"/>
      <c r="G35" s="59" t="s">
        <v>10</v>
      </c>
      <c r="H35" s="60"/>
      <c r="I35" s="150"/>
      <c r="J35" s="60" t="s">
        <v>10</v>
      </c>
      <c r="K35" s="150"/>
      <c r="L35" s="59" t="s">
        <v>10</v>
      </c>
      <c r="M35" s="150"/>
      <c r="N35" s="150"/>
    </row>
    <row r="36" spans="1:73" ht="14.25" x14ac:dyDescent="0.2">
      <c r="A36" s="37" t="s">
        <v>172</v>
      </c>
      <c r="B36" s="139"/>
      <c r="C36" s="139"/>
      <c r="D36" s="139"/>
      <c r="E36" s="139"/>
      <c r="F36" s="153">
        <f>F34</f>
        <v>4543.8829999999998</v>
      </c>
      <c r="G36" s="66">
        <f>G34</f>
        <v>3.6419718304242004</v>
      </c>
      <c r="H36" s="139"/>
      <c r="I36" s="139"/>
      <c r="J36" s="141">
        <f>J34</f>
        <v>530.91126666666662</v>
      </c>
      <c r="K36" s="139"/>
      <c r="L36" s="66">
        <f>L34</f>
        <v>510.16331622787857</v>
      </c>
      <c r="M36" s="66">
        <f>M34</f>
        <v>1249.4179718304235</v>
      </c>
      <c r="N36" s="139"/>
    </row>
    <row r="37" spans="1:73" ht="16.5" x14ac:dyDescent="0.2">
      <c r="A37" s="67" t="s">
        <v>211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68"/>
      <c r="M37" s="41"/>
      <c r="N37" s="41"/>
    </row>
    <row r="38" spans="1:73" ht="14.25" x14ac:dyDescent="0.2">
      <c r="A38" s="38" t="s">
        <v>128</v>
      </c>
      <c r="B38" s="38"/>
      <c r="C38" s="38"/>
      <c r="D38" s="38"/>
      <c r="E38" s="69"/>
      <c r="F38" s="69"/>
      <c r="G38" s="69"/>
      <c r="H38" s="69"/>
      <c r="I38" s="69"/>
      <c r="J38" s="69"/>
      <c r="K38" s="69"/>
      <c r="L38" s="69"/>
      <c r="M38" s="69"/>
      <c r="N38" s="69"/>
    </row>
    <row r="39" spans="1:73" ht="14.25" x14ac:dyDescent="0.2">
      <c r="A39" s="70" t="s">
        <v>78</v>
      </c>
      <c r="B39" s="38"/>
      <c r="C39" s="38"/>
      <c r="D39" s="3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ht="14.25" x14ac:dyDescent="0.2">
      <c r="A40" s="38" t="s">
        <v>26</v>
      </c>
      <c r="B40" s="71">
        <f ca="1">NOW()</f>
        <v>43508.410904166667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F44" s="15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8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.25" x14ac:dyDescent="0.2">
      <c r="A2" s="38"/>
      <c r="B2" s="162" t="s">
        <v>0</v>
      </c>
      <c r="C2" s="162"/>
      <c r="D2" s="162"/>
      <c r="E2" s="162"/>
      <c r="F2" s="41"/>
      <c r="G2" s="162" t="s">
        <v>24</v>
      </c>
      <c r="H2" s="162"/>
      <c r="I2" s="162"/>
      <c r="J2" s="38"/>
    </row>
    <row r="3" spans="1:12" ht="14.25" x14ac:dyDescent="0.2">
      <c r="A3" s="38" t="s">
        <v>84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.25" x14ac:dyDescent="0.2">
      <c r="A4" s="43" t="s">
        <v>85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97</v>
      </c>
    </row>
    <row r="5" spans="1:12" ht="14.25" x14ac:dyDescent="0.2">
      <c r="A5" s="38"/>
      <c r="B5" s="163" t="s">
        <v>105</v>
      </c>
      <c r="C5" s="163"/>
      <c r="D5" s="163"/>
      <c r="E5" s="163"/>
      <c r="F5" s="163"/>
      <c r="G5" s="163"/>
      <c r="H5" s="163"/>
      <c r="I5" s="163"/>
      <c r="J5" s="163"/>
    </row>
    <row r="6" spans="1:12" ht="16.5" x14ac:dyDescent="0.2">
      <c r="A6" s="38" t="s">
        <v>126</v>
      </c>
      <c r="B6" s="72">
        <v>263.88600000000002</v>
      </c>
      <c r="C6" s="73">
        <v>44787.017</v>
      </c>
      <c r="D6" s="73">
        <v>349.553099354697</v>
      </c>
      <c r="E6" s="73">
        <f>+B6+C6+D6</f>
        <v>45400.456099354698</v>
      </c>
      <c r="F6" s="73"/>
      <c r="G6" s="73">
        <f>+I6-H6</f>
        <v>33419.538222414194</v>
      </c>
      <c r="H6" s="73">
        <v>11580.287876940511</v>
      </c>
      <c r="I6" s="73">
        <f>+E6-J6</f>
        <v>44999.826099354701</v>
      </c>
      <c r="J6" s="73">
        <v>400.63</v>
      </c>
    </row>
    <row r="7" spans="1:12" ht="16.5" x14ac:dyDescent="0.2">
      <c r="A7" s="38" t="s">
        <v>143</v>
      </c>
      <c r="B7" s="72">
        <f>J6</f>
        <v>400.63</v>
      </c>
      <c r="C7" s="73">
        <f>C23</f>
        <v>49215.829000000005</v>
      </c>
      <c r="D7" s="73">
        <f>D23</f>
        <v>495.14565941574295</v>
      </c>
      <c r="E7" s="73">
        <f>+B7+C7+D7</f>
        <v>50111.604659415745</v>
      </c>
      <c r="F7" s="73"/>
      <c r="G7" s="73">
        <f>+I7-H7</f>
        <v>34733.11146749364</v>
      </c>
      <c r="H7" s="73">
        <f>H23</f>
        <v>14825.621191922099</v>
      </c>
      <c r="I7" s="73">
        <f>+E7-J7</f>
        <v>49558.732659415742</v>
      </c>
      <c r="J7" s="73">
        <f>J22</f>
        <v>552.87200000000007</v>
      </c>
    </row>
    <row r="8" spans="1:12" ht="16.5" x14ac:dyDescent="0.2">
      <c r="A8" s="38" t="s">
        <v>166</v>
      </c>
      <c r="B8" s="72">
        <f>J7</f>
        <v>552.87200000000007</v>
      </c>
      <c r="C8" s="73">
        <v>49147</v>
      </c>
      <c r="D8" s="73">
        <v>350</v>
      </c>
      <c r="E8" s="73">
        <f>+B8+C8+D8</f>
        <v>50049.872000000003</v>
      </c>
      <c r="F8" s="73"/>
      <c r="G8" s="73">
        <f>+I8-H8</f>
        <v>35849.872000000003</v>
      </c>
      <c r="H8" s="73">
        <v>13750</v>
      </c>
      <c r="I8" s="73">
        <f>+E8-J8</f>
        <v>49599.872000000003</v>
      </c>
      <c r="J8" s="73">
        <v>450</v>
      </c>
    </row>
    <row r="9" spans="1:12" ht="14.25" x14ac:dyDescent="0.2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75" x14ac:dyDescent="0.25">
      <c r="A10" s="38" t="s">
        <v>121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75" x14ac:dyDescent="0.25">
      <c r="A11" s="41" t="s">
        <v>58</v>
      </c>
      <c r="B11" s="76">
        <v>400.63</v>
      </c>
      <c r="C11" s="59">
        <f>3847.77+276.055</f>
        <v>4123.8249999999998</v>
      </c>
      <c r="D11" s="59">
        <f>(22847.236+3613+112.237+227.84)*2.204622/2000</f>
        <v>29.542279823343005</v>
      </c>
      <c r="E11" s="59">
        <f t="shared" ref="E11:E16" si="0">SUM(B11:D11)</f>
        <v>4553.997279823343</v>
      </c>
      <c r="F11" s="75"/>
      <c r="G11" s="77">
        <f t="shared" ref="G11:G16" si="1">I11-H11</f>
        <v>3378.7416613199302</v>
      </c>
      <c r="H11" s="59">
        <f>((600.174309+9.196+100.005374))*(2.204622/2)</f>
        <v>781.95261850341296</v>
      </c>
      <c r="I11" s="75">
        <f>E11-J11</f>
        <v>4160.6942798233431</v>
      </c>
      <c r="J11" s="59">
        <f>350.935+42.368</f>
        <v>393.303</v>
      </c>
      <c r="K11" s="21"/>
      <c r="L11" s="21"/>
    </row>
    <row r="12" spans="1:12" ht="15.75" x14ac:dyDescent="0.25">
      <c r="A12" s="41" t="s">
        <v>59</v>
      </c>
      <c r="B12" s="76">
        <f>J11</f>
        <v>393.303</v>
      </c>
      <c r="C12" s="59">
        <f>3829.14+272.552</f>
        <v>4101.692</v>
      </c>
      <c r="D12" s="59">
        <f>(24089.253+6879+138.856+88.687)*2.204622/2000</f>
        <v>34.387469084556002</v>
      </c>
      <c r="E12" s="59">
        <f t="shared" si="0"/>
        <v>4529.3824690845559</v>
      </c>
      <c r="F12" s="75"/>
      <c r="G12" s="77">
        <f t="shared" si="1"/>
        <v>3025.7385579029396</v>
      </c>
      <c r="H12" s="59">
        <f>((805.972095+9.59+195.528161))*(2.204622/2)</f>
        <v>1114.535911181616</v>
      </c>
      <c r="I12" s="75">
        <f t="shared" ref="I12:I17" si="2">E12-J12</f>
        <v>4140.2744690845557</v>
      </c>
      <c r="J12" s="59">
        <f>354.998+34.11</f>
        <v>389.108</v>
      </c>
      <c r="K12" s="21"/>
      <c r="L12" s="21"/>
    </row>
    <row r="13" spans="1:12" ht="15.75" x14ac:dyDescent="0.25">
      <c r="A13" s="41" t="s">
        <v>60</v>
      </c>
      <c r="B13" s="76">
        <f t="shared" ref="B13:B18" si="3">J12</f>
        <v>389.108</v>
      </c>
      <c r="C13" s="59">
        <f>3904.161+268.856</f>
        <v>4173.0169999999998</v>
      </c>
      <c r="D13" s="59">
        <f>(24389.331+4562+327.365+22.939)*2.204622/2000</f>
        <v>32.299514578485002</v>
      </c>
      <c r="E13" s="59">
        <f t="shared" si="0"/>
        <v>4594.4245145784853</v>
      </c>
      <c r="F13" s="75"/>
      <c r="G13" s="77">
        <f t="shared" si="1"/>
        <v>2850.6246743459992</v>
      </c>
      <c r="H13" s="59">
        <f>((830.201079+4.499+243.868347))*(2.204622/2)</f>
        <v>1188.917840232486</v>
      </c>
      <c r="I13" s="75">
        <f t="shared" si="2"/>
        <v>4039.5425145784852</v>
      </c>
      <c r="J13" s="59">
        <f>506.203+48.679</f>
        <v>554.88199999999995</v>
      </c>
      <c r="K13" s="21"/>
      <c r="L13" s="21"/>
    </row>
    <row r="14" spans="1:12" ht="15.75" x14ac:dyDescent="0.25">
      <c r="A14" s="41" t="s">
        <v>61</v>
      </c>
      <c r="B14" s="76">
        <f t="shared" si="3"/>
        <v>554.88199999999995</v>
      </c>
      <c r="C14" s="59">
        <f>3859.849+268.466</f>
        <v>4128.3150000000005</v>
      </c>
      <c r="D14" s="59">
        <f>(36971.805+5379+529.766+155.003)*2.204622/2000</f>
        <v>47.438586611514005</v>
      </c>
      <c r="E14" s="59">
        <f t="shared" si="0"/>
        <v>4730.6355866115146</v>
      </c>
      <c r="F14" s="75"/>
      <c r="G14" s="77">
        <f t="shared" si="1"/>
        <v>3137.9027527343933</v>
      </c>
      <c r="H14" s="59">
        <f>((963.675889+8.332+100.939613))*(2.204622/2)</f>
        <v>1182.721833877122</v>
      </c>
      <c r="I14" s="75">
        <f t="shared" si="2"/>
        <v>4320.624586611515</v>
      </c>
      <c r="J14" s="59">
        <f>379.359+30.652</f>
        <v>410.01099999999997</v>
      </c>
      <c r="K14" s="21"/>
      <c r="L14" s="21"/>
    </row>
    <row r="15" spans="1:12" ht="15.75" x14ac:dyDescent="0.25">
      <c r="A15" s="41" t="s">
        <v>62</v>
      </c>
      <c r="B15" s="76">
        <f t="shared" si="3"/>
        <v>410.01099999999997</v>
      </c>
      <c r="C15" s="59">
        <f>3651.786+247.786</f>
        <v>3899.5720000000001</v>
      </c>
      <c r="D15" s="59">
        <f>(38660.509+4701+268.165+52.191)*2.204622/2000</f>
        <v>48.151000290014998</v>
      </c>
      <c r="E15" s="59">
        <f t="shared" si="0"/>
        <v>4357.7340002900155</v>
      </c>
      <c r="F15" s="75"/>
      <c r="G15" s="77">
        <f t="shared" si="1"/>
        <v>2658.6559813247736</v>
      </c>
      <c r="H15" s="59">
        <f>((928.305283+11.173+188.412139))*(2.204622/2)</f>
        <v>1243.286018965242</v>
      </c>
      <c r="I15" s="75">
        <f t="shared" si="2"/>
        <v>3901.9420002900156</v>
      </c>
      <c r="J15" s="59">
        <f>415.077+40.715</f>
        <v>455.79200000000003</v>
      </c>
      <c r="K15" s="21"/>
      <c r="L15" s="21"/>
    </row>
    <row r="16" spans="1:12" ht="15.75" x14ac:dyDescent="0.25">
      <c r="A16" s="41" t="s">
        <v>63</v>
      </c>
      <c r="B16" s="76">
        <f t="shared" si="3"/>
        <v>455.79200000000003</v>
      </c>
      <c r="C16" s="59">
        <f>4029.272+277.277</f>
        <v>4306.549</v>
      </c>
      <c r="D16" s="59">
        <f>(44293.716+6632+552.284+45.659)*2.204622/2000</f>
        <v>56.795096075949004</v>
      </c>
      <c r="E16" s="59">
        <f t="shared" si="0"/>
        <v>4819.1360960759494</v>
      </c>
      <c r="F16" s="75"/>
      <c r="G16" s="77">
        <f t="shared" si="1"/>
        <v>2860.0986151257603</v>
      </c>
      <c r="H16" s="59">
        <f>((1087.910534+8.669+186.947965))*(2.204622/2)</f>
        <v>1414.8464809501893</v>
      </c>
      <c r="I16" s="75">
        <f t="shared" si="2"/>
        <v>4274.9450960759496</v>
      </c>
      <c r="J16" s="59">
        <f>492.224+51.967</f>
        <v>544.19100000000003</v>
      </c>
      <c r="K16" s="21"/>
      <c r="L16" s="21"/>
    </row>
    <row r="17" spans="1:12" ht="15.75" x14ac:dyDescent="0.25">
      <c r="A17" s="41" t="s">
        <v>64</v>
      </c>
      <c r="B17" s="76">
        <f t="shared" si="3"/>
        <v>544.19100000000003</v>
      </c>
      <c r="C17" s="59">
        <f>3822.338+257.585</f>
        <v>4079.9230000000002</v>
      </c>
      <c r="D17" s="59">
        <f>(28045.93+7488+746.07+92.753)*2.204622/2000</f>
        <v>40.094085732182997</v>
      </c>
      <c r="E17" s="59">
        <f t="shared" ref="E17:E22" si="4">SUM(B17:D17)</f>
        <v>4664.2080857321835</v>
      </c>
      <c r="F17" s="75"/>
      <c r="G17" s="77">
        <f t="shared" ref="G17:G22" si="5">I17-H17</f>
        <v>2883.6715361031738</v>
      </c>
      <c r="H17" s="59">
        <f>((939.851833+12.285+252.977286))*(2.204622/2)</f>
        <v>1328.4105496290092</v>
      </c>
      <c r="I17" s="75">
        <f t="shared" si="2"/>
        <v>4212.0820857321833</v>
      </c>
      <c r="J17" s="59">
        <f>404.468+47.658</f>
        <v>452.12600000000003</v>
      </c>
      <c r="K17" s="21"/>
      <c r="L17" s="21"/>
    </row>
    <row r="18" spans="1:12" ht="15.75" x14ac:dyDescent="0.25">
      <c r="A18" s="41" t="s">
        <v>65</v>
      </c>
      <c r="B18" s="76">
        <f t="shared" si="3"/>
        <v>452.12600000000003</v>
      </c>
      <c r="C18" s="59">
        <f>3846.687+262.574</f>
        <v>4109.2609999999995</v>
      </c>
      <c r="D18" s="59">
        <f>(30307.778+8732+999.903+277.738)*2.204622/2000</f>
        <v>44.442334455308995</v>
      </c>
      <c r="E18" s="59">
        <f t="shared" si="4"/>
        <v>4605.8293344553085</v>
      </c>
      <c r="F18" s="75"/>
      <c r="G18" s="77">
        <f t="shared" si="5"/>
        <v>2837.7341102318351</v>
      </c>
      <c r="H18" s="59">
        <f>((931.728038+14.292+265.043105))*(2.204622/2)</f>
        <v>1334.968224223473</v>
      </c>
      <c r="I18" s="75">
        <f>E18-J18</f>
        <v>4172.7023344553081</v>
      </c>
      <c r="J18" s="59">
        <f>391.812+41.315</f>
        <v>433.12700000000001</v>
      </c>
      <c r="K18" s="21"/>
      <c r="L18" s="21"/>
    </row>
    <row r="19" spans="1:12" ht="15.75" x14ac:dyDescent="0.25">
      <c r="A19" s="41" t="s">
        <v>66</v>
      </c>
      <c r="B19" s="76">
        <f>J18</f>
        <v>433.12700000000001</v>
      </c>
      <c r="C19" s="59">
        <f>3778.127+254.192</f>
        <v>4032.319</v>
      </c>
      <c r="D19" s="59">
        <f>(32240.674+5482+601.309+347.659)*2.204622/2000</f>
        <v>42.628176364662004</v>
      </c>
      <c r="E19" s="59">
        <f t="shared" si="4"/>
        <v>4508.074176364662</v>
      </c>
      <c r="F19" s="75"/>
      <c r="G19" s="77">
        <f t="shared" si="5"/>
        <v>2631.8480803154871</v>
      </c>
      <c r="H19" s="59">
        <f>((1029.570683+13.178+297.795951))*(2.204622/2)</f>
        <v>1477.6970960491742</v>
      </c>
      <c r="I19" s="75">
        <f>E19-J19</f>
        <v>4109.5451763646615</v>
      </c>
      <c r="J19" s="59">
        <f>359.823+38.706</f>
        <v>398.529</v>
      </c>
      <c r="K19" s="21"/>
      <c r="L19" s="21"/>
    </row>
    <row r="20" spans="1:12" ht="15.75" x14ac:dyDescent="0.25">
      <c r="A20" s="41" t="s">
        <v>68</v>
      </c>
      <c r="B20" s="76">
        <f>J19</f>
        <v>398.529</v>
      </c>
      <c r="C20" s="59">
        <f>3979.12+265.562</f>
        <v>4244.6819999999998</v>
      </c>
      <c r="D20" s="59">
        <f>(25790.768+9506+404.699+474.826)*2.204622/2000</f>
        <v>39.877525713122992</v>
      </c>
      <c r="E20" s="59">
        <f t="shared" si="4"/>
        <v>4683.0885257131222</v>
      </c>
      <c r="F20" s="75"/>
      <c r="G20" s="77">
        <f t="shared" si="5"/>
        <v>2917.1928897382468</v>
      </c>
      <c r="H20" s="59">
        <f>((871.419645+16.308+249.39848))*(2.204622/2)</f>
        <v>1253.4666359748751</v>
      </c>
      <c r="I20" s="75">
        <f>E20-J20</f>
        <v>4170.6595257131221</v>
      </c>
      <c r="J20" s="59">
        <f>462.35+50.079</f>
        <v>512.42899999999997</v>
      </c>
      <c r="K20" s="21"/>
      <c r="L20" s="21"/>
    </row>
    <row r="21" spans="1:12" ht="15.75" x14ac:dyDescent="0.25">
      <c r="A21" s="41" t="s">
        <v>69</v>
      </c>
      <c r="B21" s="76">
        <f>J20</f>
        <v>512.42899999999997</v>
      </c>
      <c r="C21" s="59">
        <f>3771.727+259.078</f>
        <v>4030.8049999999998</v>
      </c>
      <c r="D21" s="59">
        <f>(30811.776+9784+380.962+375.799)*2.204622/2000</f>
        <v>45.583356413007003</v>
      </c>
      <c r="E21" s="59">
        <f t="shared" si="4"/>
        <v>4588.8173564130066</v>
      </c>
      <c r="F21" s="75"/>
      <c r="G21" s="77">
        <f t="shared" si="5"/>
        <v>2843.5690296272546</v>
      </c>
      <c r="H21" s="59">
        <f>((990.184003+14.522+214.727829))*(2.204622/2)</f>
        <v>1344.1953267857521</v>
      </c>
      <c r="I21" s="75">
        <f>E21-J21</f>
        <v>4187.7643564130067</v>
      </c>
      <c r="J21" s="59">
        <f>359.936+41.117</f>
        <v>401.053</v>
      </c>
      <c r="K21" s="21"/>
      <c r="L21" s="21"/>
    </row>
    <row r="22" spans="1:12" ht="15.75" x14ac:dyDescent="0.25">
      <c r="A22" s="41" t="s">
        <v>71</v>
      </c>
      <c r="B22" s="76">
        <f>J21</f>
        <v>401.053</v>
      </c>
      <c r="C22" s="59">
        <f>3731.6+254.269</f>
        <v>3985.8689999999997</v>
      </c>
      <c r="D22" s="59">
        <f>(21488.826+7910+984.314+376.087)*2.204622/2000</f>
        <v>33.906234273597001</v>
      </c>
      <c r="E22" s="59">
        <f t="shared" si="4"/>
        <v>4420.8282342735965</v>
      </c>
      <c r="F22" s="75"/>
      <c r="G22" s="77">
        <f t="shared" si="5"/>
        <v>2707.3335787238475</v>
      </c>
      <c r="H22" s="59">
        <f>((822.935166+16.362+213.602293))*(2.204622/2)</f>
        <v>1160.622655549749</v>
      </c>
      <c r="I22" s="75">
        <f>E22-J22</f>
        <v>3867.9562342735962</v>
      </c>
      <c r="J22" s="59">
        <f>498.862+54.01</f>
        <v>552.87200000000007</v>
      </c>
      <c r="K22" s="21"/>
      <c r="L22" s="21"/>
    </row>
    <row r="23" spans="1:12" ht="15.75" x14ac:dyDescent="0.25">
      <c r="A23" s="41" t="s">
        <v>3</v>
      </c>
      <c r="B23" s="76"/>
      <c r="C23" s="59">
        <f>SUM(C11:C22)</f>
        <v>49215.829000000005</v>
      </c>
      <c r="D23" s="59">
        <f>SUM(D11:D22)</f>
        <v>495.14565941574295</v>
      </c>
      <c r="E23" s="59">
        <f>B11+C23+D23</f>
        <v>50111.604659415745</v>
      </c>
      <c r="F23" s="59"/>
      <c r="G23" s="59">
        <f>SUM(G11:G22)</f>
        <v>34733.11146749364</v>
      </c>
      <c r="H23" s="59">
        <f>SUM(H11:H22)</f>
        <v>14825.621191922099</v>
      </c>
      <c r="I23" s="59">
        <f>SUM(I11:I22)</f>
        <v>49558.732659415735</v>
      </c>
      <c r="J23" s="59"/>
      <c r="K23" s="21"/>
      <c r="L23" s="21"/>
    </row>
    <row r="24" spans="1:12" ht="14.25" x14ac:dyDescent="0.2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75" x14ac:dyDescent="0.25">
      <c r="A25" s="41" t="s">
        <v>168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75" x14ac:dyDescent="0.25">
      <c r="A26" s="41" t="s">
        <v>58</v>
      </c>
      <c r="B26" s="76">
        <f>J22</f>
        <v>552.87200000000007</v>
      </c>
      <c r="C26" s="59">
        <f>4020.038+270.986</f>
        <v>4291.0240000000003</v>
      </c>
      <c r="D26" s="59">
        <f>(38926.531+8534+588.568+342.761)*2.204622/2000</f>
        <v>53.342879588460001</v>
      </c>
      <c r="E26" s="59">
        <f>SUM(B26:D26)</f>
        <v>4897.2388795884608</v>
      </c>
      <c r="F26" s="75"/>
      <c r="G26" s="77">
        <f>I26-H26</f>
        <v>3344.7338142579056</v>
      </c>
      <c r="H26" s="59">
        <f>((777.632699+6.862+220.334306))*(2.204622/2)</f>
        <v>1107.6340653305549</v>
      </c>
      <c r="I26" s="75">
        <f>E26-J26</f>
        <v>4452.3678795884607</v>
      </c>
      <c r="J26" s="59">
        <f>399.414+45.457</f>
        <v>444.87099999999998</v>
      </c>
      <c r="K26" s="21"/>
      <c r="L26" s="21"/>
    </row>
    <row r="27" spans="1:12" ht="15.75" x14ac:dyDescent="0.25">
      <c r="A27" s="41" t="s">
        <v>59</v>
      </c>
      <c r="B27" s="76">
        <f>J26</f>
        <v>444.87099999999998</v>
      </c>
      <c r="C27" s="59">
        <f>3889.342+265.758</f>
        <v>4155.1000000000004</v>
      </c>
      <c r="D27" s="59">
        <f>(29362.973+4604+554.38+256.525)*2.204622/2000</f>
        <v>38.336037476058003</v>
      </c>
      <c r="E27" s="59">
        <f t="shared" ref="E27" si="6">SUM(B27:D27)</f>
        <v>4638.3070374760582</v>
      </c>
      <c r="F27" s="59"/>
      <c r="G27" s="77">
        <f t="shared" ref="G27" si="7">I27-H27</f>
        <v>3143.4787312929102</v>
      </c>
      <c r="H27" s="59">
        <f>((790.036891+14.219+247.510177))*(2.204622/2)</f>
        <v>1159.3733061831479</v>
      </c>
      <c r="I27" s="75">
        <f t="shared" ref="I27" si="8">E27-J27</f>
        <v>4302.8520374760583</v>
      </c>
      <c r="J27" s="59">
        <f>294.996+40.459</f>
        <v>335.45499999999998</v>
      </c>
      <c r="K27" s="21"/>
      <c r="L27" s="21"/>
    </row>
    <row r="28" spans="1:12" ht="15.75" x14ac:dyDescent="0.25">
      <c r="A28" s="41" t="s">
        <v>60</v>
      </c>
      <c r="B28" s="76" t="s">
        <v>10</v>
      </c>
      <c r="C28" s="59" t="s">
        <v>10</v>
      </c>
      <c r="D28" s="59" t="s">
        <v>10</v>
      </c>
      <c r="E28" s="59" t="s">
        <v>10</v>
      </c>
      <c r="F28" s="59"/>
      <c r="G28" s="77" t="s">
        <v>10</v>
      </c>
      <c r="H28" s="77" t="s">
        <v>10</v>
      </c>
      <c r="I28" s="77" t="s">
        <v>10</v>
      </c>
      <c r="J28" s="77" t="s">
        <v>10</v>
      </c>
      <c r="K28" s="21"/>
      <c r="L28" s="21"/>
    </row>
    <row r="29" spans="1:12" ht="15.75" x14ac:dyDescent="0.25">
      <c r="A29" s="37" t="s">
        <v>172</v>
      </c>
      <c r="B29" s="78"/>
      <c r="C29" s="66">
        <f>SUM(C26:C28)</f>
        <v>8446.1239999999998</v>
      </c>
      <c r="D29" s="66">
        <f>SUM(D26:D28)</f>
        <v>91.678917064518004</v>
      </c>
      <c r="E29" s="66">
        <f>B26+C29+D29</f>
        <v>9090.674917064518</v>
      </c>
      <c r="F29" s="66"/>
      <c r="G29" s="66">
        <f t="shared" ref="G29:I29" si="9">SUM(G26:G28)</f>
        <v>6488.2125455508158</v>
      </c>
      <c r="H29" s="66">
        <f t="shared" si="9"/>
        <v>2267.0073715137028</v>
      </c>
      <c r="I29" s="66">
        <f t="shared" si="9"/>
        <v>8755.2199170645181</v>
      </c>
      <c r="J29" s="66"/>
      <c r="K29" s="21"/>
      <c r="L29" s="21"/>
    </row>
    <row r="30" spans="1:12" ht="17.25" x14ac:dyDescent="0.25">
      <c r="A30" s="79" t="s">
        <v>197</v>
      </c>
      <c r="B30" s="38"/>
      <c r="C30" s="38"/>
      <c r="D30" s="38"/>
      <c r="E30" s="38"/>
      <c r="F30" s="38"/>
      <c r="G30" s="38"/>
      <c r="H30" s="38"/>
      <c r="I30" s="38"/>
      <c r="J30" s="38"/>
      <c r="K30" s="21"/>
      <c r="L30" s="21"/>
    </row>
    <row r="31" spans="1:12" ht="15.75" x14ac:dyDescent="0.25">
      <c r="A31" s="38" t="s">
        <v>129</v>
      </c>
      <c r="B31" s="38"/>
      <c r="C31" s="38"/>
      <c r="D31" s="38"/>
      <c r="E31" s="38"/>
      <c r="F31" s="38"/>
      <c r="G31" s="38"/>
      <c r="H31" s="38"/>
      <c r="I31" s="38"/>
      <c r="J31" s="38"/>
      <c r="K31" s="21"/>
      <c r="L31" s="21"/>
    </row>
    <row r="32" spans="1:12" ht="15.75" x14ac:dyDescent="0.25">
      <c r="A32" s="38" t="s">
        <v>26</v>
      </c>
      <c r="B32" s="71">
        <f ca="1">NOW()</f>
        <v>43508.410904166667</v>
      </c>
      <c r="C32" s="58"/>
      <c r="D32" s="54"/>
      <c r="E32" s="54"/>
      <c r="F32" s="54"/>
      <c r="G32" s="54"/>
      <c r="H32" s="54"/>
      <c r="I32" s="54"/>
      <c r="J32" s="54"/>
      <c r="K32" s="21"/>
      <c r="L32" s="21"/>
    </row>
    <row r="33" spans="1:12" ht="15.75" x14ac:dyDescent="0.25">
      <c r="A33" s="1"/>
      <c r="B33" s="3"/>
      <c r="C33" s="4"/>
      <c r="D33" s="3"/>
      <c r="E33" s="3"/>
      <c r="F33" s="3"/>
      <c r="G33" s="3"/>
      <c r="H33" s="5"/>
      <c r="I33" s="3"/>
      <c r="J33" s="3"/>
      <c r="K33" s="21"/>
      <c r="L33" s="21"/>
    </row>
    <row r="34" spans="1:12" ht="15.75" x14ac:dyDescent="0.25">
      <c r="A34" s="1"/>
      <c r="B34" s="3"/>
      <c r="C34" s="3"/>
      <c r="D34" s="3"/>
      <c r="E34" s="3"/>
      <c r="F34" s="3"/>
      <c r="G34" s="3"/>
      <c r="H34" s="3"/>
      <c r="I34" s="3"/>
      <c r="J34" s="3"/>
      <c r="K34" s="21"/>
      <c r="L34" s="21"/>
    </row>
    <row r="35" spans="1:12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1"/>
      <c r="L35" s="21"/>
    </row>
    <row r="36" spans="1:12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1"/>
      <c r="L36" s="21"/>
    </row>
    <row r="37" spans="1:12" ht="15.75" x14ac:dyDescent="0.25">
      <c r="K37" s="21"/>
      <c r="L37" s="21"/>
    </row>
    <row r="38" spans="1:12" ht="15.75" x14ac:dyDescent="0.25">
      <c r="K38" s="21"/>
      <c r="L38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4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9.5703125" bestFit="1" customWidth="1"/>
    <col min="14" max="14" width="9.28515625" bestFit="1" customWidth="1"/>
  </cols>
  <sheetData>
    <row r="1" spans="1:13" ht="14.25" x14ac:dyDescent="0.2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.25" x14ac:dyDescent="0.2">
      <c r="A2" s="38"/>
      <c r="B2" s="162" t="s">
        <v>0</v>
      </c>
      <c r="C2" s="162"/>
      <c r="D2" s="162"/>
      <c r="E2" s="162"/>
      <c r="F2" s="41"/>
      <c r="G2" s="162" t="s">
        <v>24</v>
      </c>
      <c r="H2" s="162"/>
      <c r="I2" s="162"/>
      <c r="J2" s="39"/>
      <c r="K2" s="39"/>
      <c r="L2" s="38"/>
    </row>
    <row r="3" spans="1:13" ht="14.25" x14ac:dyDescent="0.2">
      <c r="A3" s="38" t="s">
        <v>84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.25" x14ac:dyDescent="0.2">
      <c r="A4" s="43" t="s">
        <v>85</v>
      </c>
      <c r="B4" s="45" t="s">
        <v>33</v>
      </c>
      <c r="C4" s="46"/>
      <c r="D4" s="46"/>
      <c r="E4" s="46"/>
      <c r="F4" s="46"/>
      <c r="G4" s="45" t="s">
        <v>3</v>
      </c>
      <c r="H4" s="45" t="s">
        <v>98</v>
      </c>
      <c r="I4" s="45" t="s">
        <v>120</v>
      </c>
      <c r="J4" s="46"/>
      <c r="K4" s="46"/>
      <c r="L4" s="80" t="s">
        <v>97</v>
      </c>
    </row>
    <row r="5" spans="1:13" ht="14.25" x14ac:dyDescent="0.2">
      <c r="A5" s="38"/>
      <c r="B5" s="164" t="s">
        <v>111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3" ht="14.25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2">
      <c r="A7" s="38" t="s">
        <v>126</v>
      </c>
      <c r="B7" s="74">
        <v>1686.8130000000001</v>
      </c>
      <c r="C7" s="74">
        <v>22123.409</v>
      </c>
      <c r="D7" s="74">
        <v>318.70876757353199</v>
      </c>
      <c r="E7" s="74">
        <f>+B7+C7+D7</f>
        <v>24128.930767573533</v>
      </c>
      <c r="F7" s="74"/>
      <c r="G7" s="74">
        <f>+K7-J7</f>
        <v>19862.314534937181</v>
      </c>
      <c r="H7" s="74">
        <v>6200.3</v>
      </c>
      <c r="I7" s="74">
        <f>G7-H7</f>
        <v>13662.014534937181</v>
      </c>
      <c r="J7" s="74">
        <v>2555.6622326363517</v>
      </c>
      <c r="K7" s="74">
        <f>+E7-L7</f>
        <v>22417.976767573531</v>
      </c>
      <c r="L7" s="74">
        <v>1710.954</v>
      </c>
      <c r="M7" s="17"/>
    </row>
    <row r="8" spans="1:13" ht="16.5" x14ac:dyDescent="0.2">
      <c r="A8" s="38" t="s">
        <v>127</v>
      </c>
      <c r="B8" s="74">
        <f>+L7</f>
        <v>1710.954</v>
      </c>
      <c r="C8" s="74">
        <f>C25</f>
        <v>23767.204000000002</v>
      </c>
      <c r="D8" s="74">
        <f>D25</f>
        <v>335.42550569064605</v>
      </c>
      <c r="E8" s="74">
        <f>+B8+C8+D8</f>
        <v>25813.583505690651</v>
      </c>
      <c r="F8" s="74"/>
      <c r="G8" s="74">
        <f>+K8-J8</f>
        <v>21376.433166286213</v>
      </c>
      <c r="H8" s="74">
        <v>7150</v>
      </c>
      <c r="I8" s="74">
        <f>G8-H8</f>
        <v>14226.433166286213</v>
      </c>
      <c r="J8" s="74">
        <f>J25</f>
        <v>2447.109339404436</v>
      </c>
      <c r="K8" s="74">
        <f>+E8-L8</f>
        <v>23823.54250569065</v>
      </c>
      <c r="L8" s="74">
        <f>L24</f>
        <v>1990.0409999999999</v>
      </c>
      <c r="M8" s="17"/>
    </row>
    <row r="9" spans="1:13" ht="16.5" x14ac:dyDescent="0.2">
      <c r="A9" s="38" t="s">
        <v>166</v>
      </c>
      <c r="B9" s="74">
        <f>+L8</f>
        <v>1990.0409999999999</v>
      </c>
      <c r="C9" s="74">
        <v>24455</v>
      </c>
      <c r="D9" s="74">
        <v>300</v>
      </c>
      <c r="E9" s="74">
        <f>+B9+C9+D9</f>
        <v>26745.041000000001</v>
      </c>
      <c r="F9" s="74"/>
      <c r="G9" s="74">
        <f>+K9-J9</f>
        <v>22400.041000000001</v>
      </c>
      <c r="H9" s="74">
        <v>8000</v>
      </c>
      <c r="I9" s="74">
        <f>G9-H9</f>
        <v>14400.041000000001</v>
      </c>
      <c r="J9" s="74">
        <v>2250</v>
      </c>
      <c r="K9" s="74">
        <f>+E9-L9</f>
        <v>24650.041000000001</v>
      </c>
      <c r="L9" s="74">
        <v>2095</v>
      </c>
      <c r="M9" s="17"/>
    </row>
    <row r="10" spans="1:13" ht="14.25" x14ac:dyDescent="0.2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.25" x14ac:dyDescent="0.2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.25" x14ac:dyDescent="0.2">
      <c r="A12" s="38" t="s">
        <v>121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.25" x14ac:dyDescent="0.2">
      <c r="A13" s="41" t="s">
        <v>58</v>
      </c>
      <c r="B13" s="75">
        <v>1710.954</v>
      </c>
      <c r="C13" s="81">
        <v>2016.8879999999999</v>
      </c>
      <c r="D13" s="75">
        <f>(0.663115+0+13.936652+0)*2.204622</f>
        <v>32.186967523074003</v>
      </c>
      <c r="E13" s="75">
        <f t="shared" ref="E13:E19" si="0">SUM(B13:D13)</f>
        <v>3760.0289675230738</v>
      </c>
      <c r="F13" s="75"/>
      <c r="G13" s="75">
        <f>K13-J13</f>
        <v>1921.1646905235377</v>
      </c>
      <c r="H13" s="75">
        <v>577.42999999999995</v>
      </c>
      <c r="I13" s="75">
        <f>G13-H13</f>
        <v>1343.7346905235377</v>
      </c>
      <c r="J13" s="75">
        <f>(80.225792+0.085525+15.875468+0.265703)*2.204622</f>
        <v>212.64127699953602</v>
      </c>
      <c r="K13" s="75">
        <f>E13-L13</f>
        <v>2133.8059675230738</v>
      </c>
      <c r="L13" s="75">
        <f>1300.36+325.863</f>
        <v>1626.223</v>
      </c>
    </row>
    <row r="14" spans="1:13" ht="14.25" x14ac:dyDescent="0.2">
      <c r="A14" s="41" t="s">
        <v>59</v>
      </c>
      <c r="B14" s="75">
        <f t="shared" ref="B14:B19" si="1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0"/>
        <v>3625.2536508767403</v>
      </c>
      <c r="F14" s="75"/>
      <c r="G14" s="75">
        <f t="shared" ref="G14:G19" si="2">K14-J14</f>
        <v>1802.5259723672164</v>
      </c>
      <c r="H14" s="75">
        <v>590.79999999999995</v>
      </c>
      <c r="I14" s="75">
        <f t="shared" ref="I14:I23" si="3">G14-H14</f>
        <v>1211.7259723672164</v>
      </c>
      <c r="J14" s="75">
        <f>(41.937459+0.208519+17.592609+0.202155)*2.204622</f>
        <v>132.14667850952398</v>
      </c>
      <c r="K14" s="75">
        <f t="shared" ref="K14:K19" si="4">E14-L14</f>
        <v>1934.6726508767404</v>
      </c>
      <c r="L14" s="75">
        <f>1379.223+311.358</f>
        <v>1690.5809999999999</v>
      </c>
    </row>
    <row r="15" spans="1:13" ht="14.25" x14ac:dyDescent="0.2">
      <c r="A15" s="41" t="s">
        <v>60</v>
      </c>
      <c r="B15" s="75">
        <f t="shared" si="1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0"/>
        <v>3737.034103268184</v>
      </c>
      <c r="F15" s="75"/>
      <c r="G15" s="75">
        <f t="shared" si="2"/>
        <v>1613.4431539013021</v>
      </c>
      <c r="H15" s="75">
        <v>593.99</v>
      </c>
      <c r="I15" s="75">
        <f t="shared" si="3"/>
        <v>1019.4531539013021</v>
      </c>
      <c r="J15" s="75">
        <f>(60.89152+0.230156+17.166633+0.145522)*2.204622</f>
        <v>172.91694936688199</v>
      </c>
      <c r="K15" s="75">
        <f t="shared" si="4"/>
        <v>1786.360103268184</v>
      </c>
      <c r="L15" s="75">
        <f>1583.544+367.13</f>
        <v>1950.674</v>
      </c>
    </row>
    <row r="16" spans="1:13" ht="14.25" x14ac:dyDescent="0.2">
      <c r="A16" s="41" t="s">
        <v>61</v>
      </c>
      <c r="B16" s="75">
        <f t="shared" si="1"/>
        <v>1950.674</v>
      </c>
      <c r="C16" s="59">
        <v>1995.5889999999999</v>
      </c>
      <c r="D16" s="75">
        <f>(0.671011+0.001728+9.360229+0)*2.204622</f>
        <v>22.118901978096002</v>
      </c>
      <c r="E16" s="75">
        <f t="shared" si="0"/>
        <v>3968.3819019780958</v>
      </c>
      <c r="F16" s="75"/>
      <c r="G16" s="75">
        <f t="shared" si="2"/>
        <v>1547.9299381743697</v>
      </c>
      <c r="H16" s="75">
        <v>462.12</v>
      </c>
      <c r="I16" s="75">
        <f t="shared" si="3"/>
        <v>1085.8099381743696</v>
      </c>
      <c r="J16" s="75">
        <f>(67.939406+0.153133+13.644+0.213094)*2.204622</f>
        <v>180.66796380372602</v>
      </c>
      <c r="K16" s="75">
        <f t="shared" si="4"/>
        <v>1728.5979019780957</v>
      </c>
      <c r="L16" s="75">
        <f>1886.728+353.056</f>
        <v>2239.7840000000001</v>
      </c>
    </row>
    <row r="17" spans="1:12" ht="14.25" x14ac:dyDescent="0.2">
      <c r="A17" s="41" t="s">
        <v>62</v>
      </c>
      <c r="B17" s="75">
        <f t="shared" si="1"/>
        <v>2239.7840000000001</v>
      </c>
      <c r="C17" s="59">
        <v>1889.8409999999999</v>
      </c>
      <c r="D17" s="75">
        <f>(10.974745+0+7.681166+0.0008)*2.204622</f>
        <v>41.130995518242003</v>
      </c>
      <c r="E17" s="75">
        <f t="shared" si="0"/>
        <v>4170.7559955182423</v>
      </c>
      <c r="F17" s="75"/>
      <c r="G17" s="75">
        <f t="shared" si="2"/>
        <v>1564.2792080768288</v>
      </c>
      <c r="H17" s="75">
        <v>495.59</v>
      </c>
      <c r="I17" s="75">
        <f t="shared" si="3"/>
        <v>1068.6892080768289</v>
      </c>
      <c r="J17" s="75">
        <f>(68.827952+0.142344+12.955662+0.217279)*2.204622</f>
        <v>181.09478744141401</v>
      </c>
      <c r="K17" s="75">
        <f t="shared" si="4"/>
        <v>1745.3739955182427</v>
      </c>
      <c r="L17" s="75">
        <f>2049.644+375.738</f>
        <v>2425.3819999999996</v>
      </c>
    </row>
    <row r="18" spans="1:12" ht="14.25" x14ac:dyDescent="0.2">
      <c r="A18" s="41" t="s">
        <v>63</v>
      </c>
      <c r="B18" s="75">
        <f t="shared" si="1"/>
        <v>2425.3819999999996</v>
      </c>
      <c r="C18" s="59">
        <v>2079.123</v>
      </c>
      <c r="D18" s="75">
        <f>(1.613442+0+7.947498+0.0008)*2.204622</f>
        <v>21.080022362280001</v>
      </c>
      <c r="E18" s="75">
        <f t="shared" si="0"/>
        <v>4525.5850223622792</v>
      </c>
      <c r="F18" s="75"/>
      <c r="G18" s="75">
        <f t="shared" si="2"/>
        <v>1879.5722664204213</v>
      </c>
      <c r="H18" s="75">
        <v>624.15</v>
      </c>
      <c r="I18" s="75">
        <f t="shared" si="3"/>
        <v>1255.4222664204212</v>
      </c>
      <c r="J18" s="75">
        <f>(62.563038+0.255788+28.340078+0.253935)*2.204622</f>
        <v>201.53075594185802</v>
      </c>
      <c r="K18" s="75">
        <f t="shared" si="4"/>
        <v>2081.1030223622793</v>
      </c>
      <c r="L18" s="75">
        <f>2080.138+364.344</f>
        <v>2444.482</v>
      </c>
    </row>
    <row r="19" spans="1:12" ht="14.25" x14ac:dyDescent="0.2">
      <c r="A19" s="41" t="s">
        <v>64</v>
      </c>
      <c r="B19" s="75">
        <f t="shared" si="1"/>
        <v>2444.482</v>
      </c>
      <c r="C19" s="59">
        <v>1964.922</v>
      </c>
      <c r="D19" s="75">
        <f>(0.567115+0.103249+12.3464+0)*2.204622</f>
        <v>28.697044283207997</v>
      </c>
      <c r="E19" s="75">
        <f t="shared" si="0"/>
        <v>4438.1010442832085</v>
      </c>
      <c r="F19" s="75"/>
      <c r="G19" s="75">
        <f t="shared" si="2"/>
        <v>1537.0046059233325</v>
      </c>
      <c r="H19" s="75">
        <v>519.55999999999995</v>
      </c>
      <c r="I19" s="75">
        <f t="shared" si="3"/>
        <v>1017.4446059233326</v>
      </c>
      <c r="J19" s="75">
        <f>(74.547873+0.133339+21.342471+0.283275)*2.204622</f>
        <v>212.32043835987602</v>
      </c>
      <c r="K19" s="75">
        <f t="shared" si="4"/>
        <v>1749.3250442832086</v>
      </c>
      <c r="L19" s="75">
        <f>2316.192+372.584</f>
        <v>2688.7759999999998</v>
      </c>
    </row>
    <row r="20" spans="1:12" ht="14.25" x14ac:dyDescent="0.2">
      <c r="A20" s="41" t="s">
        <v>65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75">
        <f t="shared" si="3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.25" x14ac:dyDescent="0.2">
      <c r="A21" s="41" t="s">
        <v>66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1809.597328870434</v>
      </c>
      <c r="H21" s="75">
        <v>623.61</v>
      </c>
      <c r="I21" s="75">
        <f t="shared" si="3"/>
        <v>1185.9873288704339</v>
      </c>
      <c r="J21" s="75">
        <f>(86.703348+0.094936+16.432424+0.337326)*2.204622</f>
        <v>228.32836625314803</v>
      </c>
      <c r="K21" s="75">
        <f>E21-L21</f>
        <v>2037.925695123582</v>
      </c>
      <c r="L21" s="75">
        <f>1933.152+371.656</f>
        <v>2304.808</v>
      </c>
    </row>
    <row r="22" spans="1:12" ht="14.25" x14ac:dyDescent="0.2">
      <c r="A22" s="41" t="s">
        <v>68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1822.4687116086945</v>
      </c>
      <c r="H22" s="75">
        <v>671.27</v>
      </c>
      <c r="I22" s="75">
        <f t="shared" si="3"/>
        <v>1151.1987116086946</v>
      </c>
      <c r="J22" s="75">
        <f>(61.380449+0.164409+17.366248+0.346584)*2.204622</f>
        <v>174.73324704318</v>
      </c>
      <c r="K22" s="75">
        <f>E22-L22</f>
        <v>1997.2019586518745</v>
      </c>
      <c r="L22" s="75">
        <f>1983.666+399.98</f>
        <v>2383.6459999999997</v>
      </c>
    </row>
    <row r="23" spans="1:12" ht="14.25" x14ac:dyDescent="0.2">
      <c r="A23" s="41" t="s">
        <v>69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1939.9040015978251</v>
      </c>
      <c r="H23" s="75">
        <v>705.13</v>
      </c>
      <c r="I23" s="75">
        <f t="shared" si="3"/>
        <v>1234.7740015978252</v>
      </c>
      <c r="J23" s="75">
        <f>(73.253711+0.073925+16.111003+0.208436)*2.204622</f>
        <v>197.63791378065</v>
      </c>
      <c r="K23" s="75">
        <f>E23-L23</f>
        <v>2137.5419153784751</v>
      </c>
      <c r="L23" s="75">
        <f>1843.912+370.887</f>
        <v>2214.799</v>
      </c>
    </row>
    <row r="24" spans="1:12" ht="14.25" x14ac:dyDescent="0.2">
      <c r="A24" s="41" t="s">
        <v>71</v>
      </c>
      <c r="B24" s="75">
        <f>L23</f>
        <v>2214.799</v>
      </c>
      <c r="C24" s="59">
        <v>1936.873</v>
      </c>
      <c r="D24" s="75">
        <f>(2.178466+0.0007+4.471838+0.008)*2.204622</f>
        <v>14.680586716488001</v>
      </c>
      <c r="E24" s="75">
        <f>SUM(B24:D24)</f>
        <v>4166.3525867164881</v>
      </c>
      <c r="F24" s="75"/>
      <c r="G24" s="75">
        <f>K24-J24</f>
        <v>2054.6427137737519</v>
      </c>
      <c r="H24" s="75">
        <v>688.71</v>
      </c>
      <c r="I24" s="75">
        <f>G24-H24</f>
        <v>1365.9327137737519</v>
      </c>
      <c r="J24" s="75">
        <f>(41.653346+0.082871+13.184233+0.267638)*2.204622</f>
        <v>121.66887294273599</v>
      </c>
      <c r="K24" s="75">
        <f>E24-L24</f>
        <v>2176.3115867164879</v>
      </c>
      <c r="L24" s="75">
        <f>1642.954+347.087</f>
        <v>1990.0409999999999</v>
      </c>
    </row>
    <row r="25" spans="1:12" ht="14.25" x14ac:dyDescent="0.2">
      <c r="A25" s="41" t="s">
        <v>3</v>
      </c>
      <c r="B25" s="75"/>
      <c r="C25" s="59">
        <f>SUM(C13:C24)</f>
        <v>23767.204000000002</v>
      </c>
      <c r="D25" s="59">
        <f>SUM(D13:D24)</f>
        <v>335.42550569064605</v>
      </c>
      <c r="E25" s="59">
        <f>B13+C25+D25</f>
        <v>25813.583505690651</v>
      </c>
      <c r="F25" s="75"/>
      <c r="G25" s="59">
        <f>SUM(G13:G24)</f>
        <v>21376.43316628621</v>
      </c>
      <c r="H25" s="59">
        <f>SUM(H13:H24)</f>
        <v>7133.6900000000005</v>
      </c>
      <c r="I25" s="59">
        <f>SUM(I13:I24)</f>
        <v>14242.743166286211</v>
      </c>
      <c r="J25" s="59">
        <f>SUM(J13:J24)</f>
        <v>2447.109339404436</v>
      </c>
      <c r="K25" s="59">
        <f>SUM(K13:K24)</f>
        <v>23823.542505690646</v>
      </c>
      <c r="L25" s="75"/>
    </row>
    <row r="26" spans="1:12" ht="14.25" x14ac:dyDescent="0.2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.25" x14ac:dyDescent="0.2">
      <c r="A27" s="38" t="s">
        <v>168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.25" x14ac:dyDescent="0.2">
      <c r="A28" s="41" t="s">
        <v>58</v>
      </c>
      <c r="B28" s="75">
        <f>L24</f>
        <v>1990.0409999999999</v>
      </c>
      <c r="C28" s="59">
        <v>2134.5529999999999</v>
      </c>
      <c r="D28" s="75">
        <f>(1.737942+14.319564)*2.204622</f>
        <v>35.400730992732001</v>
      </c>
      <c r="E28" s="75">
        <f>SUM(B28:D28)</f>
        <v>4159.994730992732</v>
      </c>
      <c r="F28" s="75"/>
      <c r="G28" s="75">
        <f t="shared" ref="G28:G29" si="5">K28-J28</f>
        <v>1966.3453887570681</v>
      </c>
      <c r="H28" s="75">
        <v>698.88</v>
      </c>
      <c r="I28" s="75">
        <f t="shared" ref="I28:I29" si="6">G28-H28</f>
        <v>1267.465388757068</v>
      </c>
      <c r="J28" s="75">
        <f>(55.756858+0.092113+10.188836+0.231305)*2.204622</f>
        <v>146.09834223566403</v>
      </c>
      <c r="K28" s="75">
        <f t="shared" ref="K28:K29" si="7">E28-L28</f>
        <v>2112.4437309927321</v>
      </c>
      <c r="L28" s="75">
        <f>1700.684+346.867</f>
        <v>2047.5509999999999</v>
      </c>
    </row>
    <row r="29" spans="1:12" ht="14.25" x14ac:dyDescent="0.2">
      <c r="A29" s="41" t="s">
        <v>59</v>
      </c>
      <c r="B29" s="75">
        <f t="shared" ref="B29" si="8">L28</f>
        <v>2047.5509999999999</v>
      </c>
      <c r="C29" s="59">
        <v>2060.5630000000001</v>
      </c>
      <c r="D29" s="75">
        <f>(0.865794+0.011057+15.151116+0.0008)*2.204622</f>
        <v>35.337372361074003</v>
      </c>
      <c r="E29" s="75">
        <f>SUM(B29:D29)</f>
        <v>4143.4513723610735</v>
      </c>
      <c r="F29" s="75"/>
      <c r="G29" s="75">
        <f t="shared" si="5"/>
        <v>2027.3313655344473</v>
      </c>
      <c r="H29" s="75">
        <v>703.79</v>
      </c>
      <c r="I29" s="75">
        <f t="shared" si="6"/>
        <v>1323.5413655344473</v>
      </c>
      <c r="J29" s="75">
        <f>(88.320359+0.165614+9.039986+0.380624)*2.204622</f>
        <v>215.847006826626</v>
      </c>
      <c r="K29" s="75">
        <f t="shared" si="7"/>
        <v>2243.1783723610733</v>
      </c>
      <c r="L29" s="75">
        <f>1582.363+317.91</f>
        <v>1900.2730000000001</v>
      </c>
    </row>
    <row r="30" spans="1:12" ht="14.25" x14ac:dyDescent="0.2">
      <c r="A30" s="41" t="s">
        <v>60</v>
      </c>
      <c r="B30" s="59" t="s">
        <v>10</v>
      </c>
      <c r="C30" s="59" t="s">
        <v>10</v>
      </c>
      <c r="D30" s="59" t="s">
        <v>10</v>
      </c>
      <c r="E30" s="59" t="s">
        <v>10</v>
      </c>
      <c r="F30" s="59"/>
      <c r="G30" s="59" t="s">
        <v>10</v>
      </c>
      <c r="H30" s="75" t="s">
        <v>10</v>
      </c>
      <c r="I30" s="75" t="s">
        <v>10</v>
      </c>
      <c r="J30" s="75" t="s">
        <v>10</v>
      </c>
      <c r="K30" s="75" t="s">
        <v>10</v>
      </c>
      <c r="L30" s="75" t="s">
        <v>10</v>
      </c>
    </row>
    <row r="31" spans="1:12" ht="14.25" x14ac:dyDescent="0.2">
      <c r="A31" s="37" t="s">
        <v>172</v>
      </c>
      <c r="B31" s="140"/>
      <c r="C31" s="66">
        <f>SUM(C28:C30)</f>
        <v>4195.116</v>
      </c>
      <c r="D31" s="66">
        <f>SUM(D28:D30)</f>
        <v>70.738103353805997</v>
      </c>
      <c r="E31" s="82">
        <f>B28+C31+D31</f>
        <v>6255.895103353806</v>
      </c>
      <c r="F31" s="82"/>
      <c r="G31" s="66">
        <f t="shared" ref="G31:K31" si="9">SUM(G28:G30)</f>
        <v>3993.6767542915154</v>
      </c>
      <c r="H31" s="66">
        <f t="shared" si="9"/>
        <v>1402.67</v>
      </c>
      <c r="I31" s="66">
        <f t="shared" si="9"/>
        <v>2591.0067542915153</v>
      </c>
      <c r="J31" s="66">
        <f t="shared" si="9"/>
        <v>361.94534906229001</v>
      </c>
      <c r="K31" s="66">
        <f t="shared" si="9"/>
        <v>4355.6221033538059</v>
      </c>
      <c r="L31" s="82"/>
    </row>
    <row r="32" spans="1:12" ht="16.5" x14ac:dyDescent="0.2">
      <c r="A32" s="79" t="s">
        <v>130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14.25" x14ac:dyDescent="0.2">
      <c r="A33" s="38" t="s">
        <v>129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4.25" x14ac:dyDescent="0.2">
      <c r="A34" s="38" t="s">
        <v>26</v>
      </c>
      <c r="B34" s="71">
        <f ca="1">NOW()</f>
        <v>43508.410904166667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.25" x14ac:dyDescent="0.2">
      <c r="A2" s="38"/>
      <c r="B2" s="162" t="s">
        <v>0</v>
      </c>
      <c r="C2" s="162"/>
      <c r="D2" s="162"/>
      <c r="E2" s="162"/>
      <c r="F2" s="83"/>
      <c r="G2" s="162" t="s">
        <v>24</v>
      </c>
      <c r="H2" s="162"/>
      <c r="I2" s="162"/>
      <c r="J2" s="162"/>
      <c r="K2" s="83"/>
      <c r="L2" s="38"/>
      <c r="M2" s="38"/>
      <c r="N2" s="38"/>
      <c r="O2" s="38"/>
    </row>
    <row r="3" spans="1:15" ht="14.25" x14ac:dyDescent="0.2">
      <c r="A3" s="38" t="s">
        <v>84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.25" x14ac:dyDescent="0.2">
      <c r="A4" s="43" t="s">
        <v>86</v>
      </c>
      <c r="B4" s="45" t="s">
        <v>54</v>
      </c>
      <c r="C4" s="85" t="s">
        <v>1</v>
      </c>
      <c r="D4" s="47" t="s">
        <v>37</v>
      </c>
      <c r="E4" s="45" t="s">
        <v>96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25" x14ac:dyDescent="0.2">
      <c r="A5" s="38"/>
      <c r="B5" s="163" t="s">
        <v>18</v>
      </c>
      <c r="C5" s="163"/>
      <c r="D5" s="163"/>
      <c r="E5" s="163"/>
      <c r="F5" s="163"/>
      <c r="G5" s="163"/>
      <c r="H5" s="163"/>
      <c r="I5" s="163"/>
      <c r="J5" s="163"/>
      <c r="K5" s="163"/>
      <c r="L5" s="38"/>
      <c r="M5" s="38"/>
      <c r="N5" s="38"/>
      <c r="O5" s="38"/>
    </row>
    <row r="6" spans="1:15" ht="14.25" x14ac:dyDescent="0.2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2">
      <c r="A7" s="38" t="s">
        <v>126</v>
      </c>
      <c r="B7" s="87">
        <v>391</v>
      </c>
      <c r="C7" s="87">
        <v>5369</v>
      </c>
      <c r="D7" s="88">
        <v>51.079000000000001</v>
      </c>
      <c r="E7" s="87">
        <f>+B7+C7+D7</f>
        <v>5811.0789999999997</v>
      </c>
      <c r="F7" s="53"/>
      <c r="G7" s="87">
        <v>1769.4399999999998</v>
      </c>
      <c r="H7" s="89">
        <v>341.65499999999997</v>
      </c>
      <c r="I7" s="87">
        <f>J7-G7-H7</f>
        <v>3299.9840000000004</v>
      </c>
      <c r="J7" s="87">
        <f>E7-K7</f>
        <v>5411.0789999999997</v>
      </c>
      <c r="K7" s="87">
        <v>400</v>
      </c>
      <c r="L7" s="38"/>
      <c r="M7" s="38"/>
      <c r="N7" s="38"/>
      <c r="O7" s="38"/>
    </row>
    <row r="8" spans="1:15" ht="16.5" x14ac:dyDescent="0.2">
      <c r="A8" s="38" t="s">
        <v>127</v>
      </c>
      <c r="B8" s="87">
        <f>+K7</f>
        <v>400</v>
      </c>
      <c r="C8" s="87">
        <v>6422</v>
      </c>
      <c r="D8" s="88">
        <v>0</v>
      </c>
      <c r="E8" s="87">
        <f>+B8+C8+D8</f>
        <v>6822</v>
      </c>
      <c r="F8" s="53"/>
      <c r="G8" s="87">
        <v>1853.576</v>
      </c>
      <c r="H8" s="89">
        <v>478.38499999999999</v>
      </c>
      <c r="I8" s="87">
        <f>J8-G8-H8</f>
        <v>4040.0389999999998</v>
      </c>
      <c r="J8" s="87">
        <f>E8-K8</f>
        <v>6372</v>
      </c>
      <c r="K8" s="87">
        <v>450</v>
      </c>
      <c r="L8" s="38"/>
      <c r="M8" s="38"/>
      <c r="N8" s="38"/>
      <c r="O8" s="38"/>
    </row>
    <row r="9" spans="1:15" ht="16.5" x14ac:dyDescent="0.2">
      <c r="A9" s="37" t="s">
        <v>166</v>
      </c>
      <c r="B9" s="90">
        <f>+K8</f>
        <v>450</v>
      </c>
      <c r="C9" s="90">
        <v>5794</v>
      </c>
      <c r="D9" s="91">
        <v>0</v>
      </c>
      <c r="E9" s="90">
        <f>+B9+C9+D9</f>
        <v>6244</v>
      </c>
      <c r="F9" s="92"/>
      <c r="G9" s="90">
        <v>1850</v>
      </c>
      <c r="H9" s="93">
        <v>425</v>
      </c>
      <c r="I9" s="90">
        <f>J9-G9-H9</f>
        <v>3599</v>
      </c>
      <c r="J9" s="90">
        <f>E9-K9</f>
        <v>5874</v>
      </c>
      <c r="K9" s="90">
        <v>370</v>
      </c>
      <c r="L9" s="38"/>
      <c r="M9" s="38"/>
      <c r="N9" s="38"/>
      <c r="O9" s="38"/>
    </row>
    <row r="10" spans="1:15" ht="16.5" x14ac:dyDescent="0.2">
      <c r="A10" s="79" t="s">
        <v>131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25" x14ac:dyDescent="0.2">
      <c r="A11" s="38" t="s">
        <v>132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25" x14ac:dyDescent="0.2">
      <c r="A12" s="38" t="s">
        <v>133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.2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.25" x14ac:dyDescent="0.2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.25" x14ac:dyDescent="0.2">
      <c r="A15" s="38"/>
      <c r="B15" s="162" t="s">
        <v>0</v>
      </c>
      <c r="C15" s="162"/>
      <c r="D15" s="162"/>
      <c r="E15" s="162"/>
      <c r="F15" s="38"/>
      <c r="G15" s="162" t="s">
        <v>24</v>
      </c>
      <c r="H15" s="162"/>
      <c r="I15" s="162"/>
      <c r="J15" s="38"/>
      <c r="K15" s="38"/>
      <c r="L15" s="38"/>
      <c r="M15" s="38"/>
      <c r="N15" s="38"/>
      <c r="O15" s="38"/>
    </row>
    <row r="16" spans="1:15" ht="14.25" x14ac:dyDescent="0.2">
      <c r="A16" s="38" t="s">
        <v>84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.25" x14ac:dyDescent="0.2">
      <c r="A17" s="43" t="s">
        <v>85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25" x14ac:dyDescent="0.2">
      <c r="A18" s="38"/>
      <c r="B18" s="163" t="s">
        <v>19</v>
      </c>
      <c r="C18" s="163"/>
      <c r="D18" s="163"/>
      <c r="E18" s="163"/>
      <c r="F18" s="163"/>
      <c r="G18" s="163"/>
      <c r="H18" s="163"/>
      <c r="I18" s="163"/>
      <c r="J18" s="163"/>
      <c r="K18" s="38"/>
      <c r="L18" s="38"/>
      <c r="M18" s="38"/>
      <c r="N18" s="38"/>
      <c r="O18" s="38"/>
    </row>
    <row r="19" spans="1:15" ht="14.25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2">
      <c r="A20" s="38" t="s">
        <v>126</v>
      </c>
      <c r="B20" s="87">
        <v>19.675999999999998</v>
      </c>
      <c r="C20" s="89">
        <v>805.29299999999989</v>
      </c>
      <c r="D20" s="88">
        <v>0</v>
      </c>
      <c r="E20" s="89">
        <f>+B20+D20+C20</f>
        <v>824.96899999999994</v>
      </c>
      <c r="F20" s="38"/>
      <c r="G20" s="89">
        <f>+I20-H20</f>
        <v>687.01285035747389</v>
      </c>
      <c r="H20" s="89">
        <v>110.22014964252601</v>
      </c>
      <c r="I20" s="89">
        <f>+E20-J20</f>
        <v>797.23299999999995</v>
      </c>
      <c r="J20" s="87">
        <v>27.736000000000001</v>
      </c>
      <c r="K20" s="38"/>
      <c r="L20" s="38"/>
      <c r="M20" s="38"/>
      <c r="N20" s="38"/>
      <c r="O20" s="38"/>
    </row>
    <row r="21" spans="1:15" ht="16.5" x14ac:dyDescent="0.2">
      <c r="A21" s="38" t="s">
        <v>127</v>
      </c>
      <c r="B21" s="87">
        <f>+J20</f>
        <v>27.736000000000001</v>
      </c>
      <c r="C21" s="89">
        <v>845</v>
      </c>
      <c r="D21" s="88">
        <v>0</v>
      </c>
      <c r="E21" s="89">
        <f>+B21+D21+C21</f>
        <v>872.73599999999999</v>
      </c>
      <c r="F21" s="38"/>
      <c r="G21" s="89">
        <f>+I21-H21</f>
        <v>708.27932965001094</v>
      </c>
      <c r="H21" s="89">
        <v>119.45667034998903</v>
      </c>
      <c r="I21" s="89">
        <f>+E21-J21</f>
        <v>827.73599999999999</v>
      </c>
      <c r="J21" s="87">
        <v>45</v>
      </c>
      <c r="K21" s="38"/>
      <c r="L21" s="38"/>
      <c r="M21" s="38"/>
      <c r="N21" s="38"/>
      <c r="O21" s="38"/>
    </row>
    <row r="22" spans="1:15" ht="16.5" x14ac:dyDescent="0.2">
      <c r="A22" s="37" t="s">
        <v>166</v>
      </c>
      <c r="B22" s="90">
        <f>+J21</f>
        <v>45</v>
      </c>
      <c r="C22" s="93">
        <v>835</v>
      </c>
      <c r="D22" s="91">
        <v>0</v>
      </c>
      <c r="E22" s="93">
        <f>+B22+D22+C22</f>
        <v>880</v>
      </c>
      <c r="F22" s="92"/>
      <c r="G22" s="93">
        <f>+I22-H22</f>
        <v>730</v>
      </c>
      <c r="H22" s="93">
        <v>110</v>
      </c>
      <c r="I22" s="93">
        <f>+E22-J22</f>
        <v>840</v>
      </c>
      <c r="J22" s="90">
        <v>40</v>
      </c>
      <c r="K22" s="38"/>
      <c r="L22" s="38"/>
      <c r="M22" s="38"/>
      <c r="N22" s="38"/>
      <c r="O22" s="38"/>
    </row>
    <row r="23" spans="1:15" ht="16.5" x14ac:dyDescent="0.2">
      <c r="A23" s="79" t="s">
        <v>131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25" x14ac:dyDescent="0.2">
      <c r="A24" s="38" t="s">
        <v>134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.25" x14ac:dyDescent="0.2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.25" x14ac:dyDescent="0.2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.25" x14ac:dyDescent="0.2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.25" x14ac:dyDescent="0.2">
      <c r="A28" s="38"/>
      <c r="B28" s="162" t="s">
        <v>0</v>
      </c>
      <c r="C28" s="162"/>
      <c r="D28" s="162"/>
      <c r="E28" s="162"/>
      <c r="F28" s="38"/>
      <c r="G28" s="162" t="s">
        <v>24</v>
      </c>
      <c r="H28" s="162"/>
      <c r="I28" s="162"/>
      <c r="J28" s="38"/>
      <c r="K28" s="38"/>
      <c r="L28" s="38"/>
      <c r="M28" s="38"/>
      <c r="N28" s="38"/>
      <c r="O28" s="38"/>
    </row>
    <row r="29" spans="1:15" ht="14.25" x14ac:dyDescent="0.2">
      <c r="A29" s="38" t="s">
        <v>84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.25" x14ac:dyDescent="0.2">
      <c r="A30" s="43" t="s">
        <v>85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97</v>
      </c>
      <c r="K30" s="38"/>
      <c r="L30" s="38"/>
      <c r="M30" s="38"/>
      <c r="N30" s="38"/>
      <c r="O30" s="38"/>
    </row>
    <row r="31" spans="1:15" ht="14.25" x14ac:dyDescent="0.2">
      <c r="A31" s="38"/>
      <c r="B31" s="163" t="s">
        <v>20</v>
      </c>
      <c r="C31" s="163"/>
      <c r="D31" s="163"/>
      <c r="E31" s="163"/>
      <c r="F31" s="163"/>
      <c r="G31" s="163"/>
      <c r="H31" s="163"/>
      <c r="I31" s="163"/>
      <c r="J31" s="163"/>
      <c r="K31" s="38"/>
      <c r="L31" s="38"/>
      <c r="M31" s="38"/>
      <c r="N31" s="38"/>
      <c r="O31" s="38"/>
    </row>
    <row r="32" spans="1:15" ht="14.25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2">
      <c r="A33" s="38" t="s">
        <v>126</v>
      </c>
      <c r="B33" s="88">
        <v>41.546999999999997</v>
      </c>
      <c r="C33" s="89">
        <v>541.625</v>
      </c>
      <c r="D33" s="88">
        <v>0.121953075174</v>
      </c>
      <c r="E33" s="96">
        <f>+B33+D33+C33</f>
        <v>583.29395307517404</v>
      </c>
      <c r="F33" s="38"/>
      <c r="G33" s="89">
        <f>+I33-H33</f>
        <v>435.17942153772003</v>
      </c>
      <c r="H33" s="89">
        <v>103.98553153745401</v>
      </c>
      <c r="I33" s="89">
        <f>+E33-J33</f>
        <v>539.16495307517403</v>
      </c>
      <c r="J33" s="97">
        <v>44.128999999999998</v>
      </c>
      <c r="K33" s="38"/>
      <c r="L33" s="38"/>
      <c r="M33" s="38"/>
      <c r="N33" s="38"/>
      <c r="O33" s="38"/>
    </row>
    <row r="34" spans="1:15" ht="16.5" x14ac:dyDescent="0.2">
      <c r="A34" s="38" t="s">
        <v>127</v>
      </c>
      <c r="B34" s="88">
        <f>+J33</f>
        <v>44.128999999999998</v>
      </c>
      <c r="C34" s="89">
        <v>561</v>
      </c>
      <c r="D34" s="88">
        <v>0.161</v>
      </c>
      <c r="E34" s="96">
        <f>+B34+D34+C34</f>
        <v>605.29</v>
      </c>
      <c r="F34" s="38"/>
      <c r="G34" s="89">
        <f>+I34-H34</f>
        <v>461.46999999999997</v>
      </c>
      <c r="H34" s="89">
        <v>111.82</v>
      </c>
      <c r="I34" s="89">
        <f>+E34-J34</f>
        <v>573.29</v>
      </c>
      <c r="J34" s="97">
        <v>32</v>
      </c>
      <c r="K34" s="38"/>
      <c r="L34" s="38"/>
      <c r="M34" s="38"/>
      <c r="N34" s="38"/>
      <c r="O34" s="38"/>
    </row>
    <row r="35" spans="1:15" ht="16.5" x14ac:dyDescent="0.2">
      <c r="A35" s="37" t="s">
        <v>166</v>
      </c>
      <c r="B35" s="91">
        <f>+J34</f>
        <v>32</v>
      </c>
      <c r="C35" s="93">
        <v>575</v>
      </c>
      <c r="D35" s="91">
        <v>1</v>
      </c>
      <c r="E35" s="98">
        <f>+B35+D35+C35</f>
        <v>608</v>
      </c>
      <c r="F35" s="92"/>
      <c r="G35" s="93">
        <f>+I35-H35</f>
        <v>476</v>
      </c>
      <c r="H35" s="93">
        <v>100</v>
      </c>
      <c r="I35" s="93">
        <f>+E35-J35</f>
        <v>576</v>
      </c>
      <c r="J35" s="93">
        <v>32</v>
      </c>
      <c r="K35" s="38"/>
      <c r="L35" s="38"/>
      <c r="M35" s="38"/>
      <c r="N35" s="38"/>
      <c r="O35" s="38"/>
    </row>
    <row r="36" spans="1:15" ht="16.5" x14ac:dyDescent="0.2">
      <c r="A36" s="79" t="s">
        <v>131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25" x14ac:dyDescent="0.2">
      <c r="A37" s="38" t="s">
        <v>135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.25" x14ac:dyDescent="0.2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.25" x14ac:dyDescent="0.2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.25" x14ac:dyDescent="0.2">
      <c r="A41" s="38"/>
      <c r="B41" s="162" t="s">
        <v>27</v>
      </c>
      <c r="C41" s="162"/>
      <c r="D41" s="40" t="s">
        <v>30</v>
      </c>
      <c r="E41" s="162" t="s">
        <v>92</v>
      </c>
      <c r="F41" s="162"/>
      <c r="G41" s="162"/>
      <c r="H41" s="162"/>
      <c r="I41" s="38"/>
      <c r="J41" s="162" t="s">
        <v>24</v>
      </c>
      <c r="K41" s="162"/>
      <c r="L41" s="162"/>
      <c r="M41" s="162"/>
      <c r="N41" s="162"/>
      <c r="O41" s="38"/>
    </row>
    <row r="42" spans="1:15" ht="14.25" x14ac:dyDescent="0.2">
      <c r="A42" s="38" t="s">
        <v>84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100</v>
      </c>
      <c r="M42" s="40"/>
      <c r="N42" s="40"/>
      <c r="O42" s="40" t="s">
        <v>34</v>
      </c>
    </row>
    <row r="43" spans="1:15" ht="14.25" x14ac:dyDescent="0.2">
      <c r="A43" s="43" t="s">
        <v>86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97</v>
      </c>
    </row>
    <row r="44" spans="1:15" ht="14.25" x14ac:dyDescent="0.2">
      <c r="A44" s="38"/>
      <c r="B44" s="164" t="s">
        <v>94</v>
      </c>
      <c r="C44" s="163"/>
      <c r="D44" s="99" t="s">
        <v>79</v>
      </c>
      <c r="E44" s="163" t="s">
        <v>21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</row>
    <row r="45" spans="1:15" ht="14.25" x14ac:dyDescent="0.2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2">
      <c r="A46" s="38" t="s">
        <v>126</v>
      </c>
      <c r="B46" s="87">
        <v>1671</v>
      </c>
      <c r="C46" s="87">
        <v>1536</v>
      </c>
      <c r="D46" s="87">
        <f>F46*1000/C46</f>
        <v>3633.8346354166665</v>
      </c>
      <c r="E46" s="87">
        <v>1790.905</v>
      </c>
      <c r="F46" s="87">
        <v>5581.57</v>
      </c>
      <c r="G46" s="97">
        <f>1.333*2.204622*55.0974</f>
        <v>161.91809726367242</v>
      </c>
      <c r="H46" s="87">
        <f>+E46+G46+F46</f>
        <v>7534.3930972636717</v>
      </c>
      <c r="I46" s="87"/>
      <c r="J46" s="87">
        <v>3086</v>
      </c>
      <c r="K46" s="87">
        <f>1.333*659.966</f>
        <v>879.73467800000003</v>
      </c>
      <c r="L46" s="89">
        <f>+N46-J46-K46-M46</f>
        <v>799.41848498118748</v>
      </c>
      <c r="M46" s="97">
        <f>1.333*2.204622*451.7713</f>
        <v>1327.6479342824839</v>
      </c>
      <c r="N46" s="87">
        <f>+H46-O46</f>
        <v>6092.8010972636712</v>
      </c>
      <c r="O46" s="87">
        <v>1441.5920000000001</v>
      </c>
    </row>
    <row r="47" spans="1:15" ht="16.5" x14ac:dyDescent="0.2">
      <c r="A47" s="38" t="s">
        <v>143</v>
      </c>
      <c r="B47" s="87">
        <v>1871.6</v>
      </c>
      <c r="C47" s="87">
        <v>1775.6</v>
      </c>
      <c r="D47" s="87">
        <f>F47*1000/C47</f>
        <v>4007.3271006983555</v>
      </c>
      <c r="E47" s="87">
        <f>O46</f>
        <v>1441.5920000000001</v>
      </c>
      <c r="F47" s="87">
        <v>7115.41</v>
      </c>
      <c r="G47" s="97">
        <v>171.48</v>
      </c>
      <c r="H47" s="87">
        <f>+E47+G47+F47</f>
        <v>8728.482</v>
      </c>
      <c r="I47" s="87"/>
      <c r="J47" s="87">
        <v>3148.9827068371601</v>
      </c>
      <c r="K47" s="87">
        <f>1.333*528.75</f>
        <v>704.82375000000002</v>
      </c>
      <c r="L47" s="89">
        <f>+N47-J47-K47-M47</f>
        <v>884.88454316283992</v>
      </c>
      <c r="M47" s="89">
        <v>1272.711</v>
      </c>
      <c r="N47" s="87">
        <f>+H47-O47</f>
        <v>6011.402</v>
      </c>
      <c r="O47" s="87">
        <v>2717.08</v>
      </c>
    </row>
    <row r="48" spans="1:15" ht="16.5" x14ac:dyDescent="0.2">
      <c r="A48" s="37" t="s">
        <v>166</v>
      </c>
      <c r="B48" s="90">
        <v>1425.5</v>
      </c>
      <c r="C48" s="90">
        <v>1368.5</v>
      </c>
      <c r="D48" s="90">
        <f>F48*1000/C48</f>
        <v>3990.9389842893679</v>
      </c>
      <c r="E48" s="90">
        <f>O47</f>
        <v>2717.08</v>
      </c>
      <c r="F48" s="90">
        <v>5461.6</v>
      </c>
      <c r="G48" s="93">
        <v>75</v>
      </c>
      <c r="H48" s="90">
        <f>+E48+G48+F48</f>
        <v>8253.68</v>
      </c>
      <c r="I48" s="90"/>
      <c r="J48" s="90">
        <v>3233</v>
      </c>
      <c r="K48" s="90">
        <v>720</v>
      </c>
      <c r="L48" s="93">
        <f>+N48-J48-K48-M48</f>
        <v>718.68000000000029</v>
      </c>
      <c r="M48" s="93">
        <v>1200</v>
      </c>
      <c r="N48" s="90">
        <f>+H48-O48</f>
        <v>5871.68</v>
      </c>
      <c r="O48" s="90">
        <v>2382</v>
      </c>
    </row>
    <row r="49" spans="1:15" ht="16.5" x14ac:dyDescent="0.2">
      <c r="A49" s="79" t="s">
        <v>131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25" x14ac:dyDescent="0.2">
      <c r="A50" s="38" t="s">
        <v>136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25" x14ac:dyDescent="0.2">
      <c r="A51" s="38" t="s">
        <v>133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.25" x14ac:dyDescent="0.2">
      <c r="A52" s="38" t="s">
        <v>26</v>
      </c>
      <c r="B52" s="100">
        <f ca="1">NOW()</f>
        <v>43508.410904166667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G2:J2"/>
    <mergeCell ref="G15:I15"/>
    <mergeCell ref="B15:E15"/>
    <mergeCell ref="B2:E2"/>
    <mergeCell ref="B28:E28"/>
    <mergeCell ref="G28:I28"/>
    <mergeCell ref="B5:K5"/>
    <mergeCell ref="B41:C41"/>
    <mergeCell ref="B44:C44"/>
    <mergeCell ref="B31:J31"/>
    <mergeCell ref="B18:J18"/>
    <mergeCell ref="E44:O44"/>
    <mergeCell ref="E41:H41"/>
    <mergeCell ref="J41:N41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0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" customHeight="1" x14ac:dyDescent="0.2">
      <c r="A2" s="41" t="s">
        <v>15</v>
      </c>
      <c r="B2" s="80" t="s">
        <v>137</v>
      </c>
      <c r="C2" s="80" t="s">
        <v>138</v>
      </c>
      <c r="D2" s="80" t="s">
        <v>139</v>
      </c>
      <c r="E2" s="80" t="s">
        <v>140</v>
      </c>
      <c r="F2" s="80" t="s">
        <v>141</v>
      </c>
      <c r="G2" s="80" t="s">
        <v>142</v>
      </c>
      <c r="H2" s="1"/>
      <c r="I2" s="1"/>
      <c r="J2" s="1"/>
      <c r="K2" s="1"/>
    </row>
    <row r="3" spans="1:11" ht="15.6" customHeight="1" x14ac:dyDescent="0.2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25" x14ac:dyDescent="0.2">
      <c r="A4" s="102"/>
      <c r="B4" s="103" t="s">
        <v>77</v>
      </c>
      <c r="C4" s="103" t="s">
        <v>87</v>
      </c>
      <c r="D4" s="103" t="s">
        <v>106</v>
      </c>
      <c r="E4" s="103" t="s">
        <v>50</v>
      </c>
      <c r="F4" s="103" t="s">
        <v>76</v>
      </c>
      <c r="G4" s="103" t="s">
        <v>77</v>
      </c>
      <c r="H4" s="1"/>
      <c r="I4" s="2"/>
      <c r="J4" s="2"/>
      <c r="K4" s="2"/>
    </row>
    <row r="5" spans="1:11" ht="14.25" x14ac:dyDescent="0.2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.25" x14ac:dyDescent="0.2">
      <c r="A6" s="38" t="s">
        <v>53</v>
      </c>
      <c r="B6" s="104">
        <v>9.9700000000000006</v>
      </c>
      <c r="C6" s="104">
        <v>223</v>
      </c>
      <c r="D6" s="104">
        <v>21.8</v>
      </c>
      <c r="E6" s="104">
        <v>18.7</v>
      </c>
      <c r="F6" s="104">
        <v>23</v>
      </c>
      <c r="G6" s="104">
        <v>12.7</v>
      </c>
      <c r="H6" s="1"/>
      <c r="I6" s="3"/>
      <c r="J6" s="3"/>
      <c r="K6" s="3"/>
    </row>
    <row r="7" spans="1:11" ht="14.25" x14ac:dyDescent="0.2">
      <c r="A7" s="38" t="s">
        <v>55</v>
      </c>
      <c r="B7" s="104">
        <v>9.59</v>
      </c>
      <c r="C7" s="104">
        <v>158</v>
      </c>
      <c r="D7" s="104">
        <v>15.1</v>
      </c>
      <c r="E7" s="104">
        <v>16.2</v>
      </c>
      <c r="F7" s="104">
        <v>21.7</v>
      </c>
      <c r="G7" s="104">
        <v>8.15</v>
      </c>
      <c r="H7" s="1"/>
      <c r="I7" s="3"/>
      <c r="J7" s="3"/>
      <c r="K7" s="3"/>
    </row>
    <row r="8" spans="1:11" ht="14.25" x14ac:dyDescent="0.2">
      <c r="A8" s="38" t="s">
        <v>56</v>
      </c>
      <c r="B8" s="104">
        <v>11.3</v>
      </c>
      <c r="C8" s="104">
        <v>161</v>
      </c>
      <c r="D8" s="104">
        <v>23.3</v>
      </c>
      <c r="E8" s="104">
        <v>19.3</v>
      </c>
      <c r="F8" s="104">
        <v>22.5</v>
      </c>
      <c r="G8" s="104">
        <v>12.2</v>
      </c>
      <c r="H8" s="1"/>
      <c r="I8" s="3"/>
      <c r="J8" s="3"/>
      <c r="K8" s="3"/>
    </row>
    <row r="9" spans="1:11" ht="14.25" x14ac:dyDescent="0.2">
      <c r="A9" s="38" t="s">
        <v>67</v>
      </c>
      <c r="B9" s="104">
        <v>12.5</v>
      </c>
      <c r="C9" s="104">
        <v>260</v>
      </c>
      <c r="D9" s="104">
        <v>29.1</v>
      </c>
      <c r="E9" s="104">
        <v>24</v>
      </c>
      <c r="F9" s="104">
        <v>31.8</v>
      </c>
      <c r="G9" s="104">
        <v>13.9</v>
      </c>
      <c r="H9" s="1"/>
      <c r="I9" s="3"/>
      <c r="J9" s="3"/>
      <c r="K9" s="3"/>
    </row>
    <row r="10" spans="1:11" ht="14.25" x14ac:dyDescent="0.2">
      <c r="A10" s="38" t="s">
        <v>91</v>
      </c>
      <c r="B10" s="104">
        <v>14.4</v>
      </c>
      <c r="C10" s="104">
        <v>252</v>
      </c>
      <c r="D10" s="104">
        <v>25.4</v>
      </c>
      <c r="E10" s="104">
        <v>26.5</v>
      </c>
      <c r="F10" s="104">
        <v>30.1</v>
      </c>
      <c r="G10" s="104">
        <v>13.8</v>
      </c>
      <c r="H10" s="1"/>
      <c r="I10" s="3"/>
      <c r="J10" s="3"/>
      <c r="K10" s="3"/>
    </row>
    <row r="11" spans="1:11" ht="14.25" x14ac:dyDescent="0.2">
      <c r="A11" s="38" t="s">
        <v>99</v>
      </c>
      <c r="B11" s="104">
        <v>13</v>
      </c>
      <c r="C11" s="104">
        <v>246</v>
      </c>
      <c r="D11" s="104">
        <v>21.4</v>
      </c>
      <c r="E11" s="104">
        <v>20.6</v>
      </c>
      <c r="F11" s="104">
        <v>24.9</v>
      </c>
      <c r="G11" s="104">
        <v>13.8</v>
      </c>
      <c r="H11" s="1"/>
      <c r="I11" s="3"/>
      <c r="J11" s="3"/>
      <c r="K11" s="3"/>
    </row>
    <row r="12" spans="1:11" ht="14.25" x14ac:dyDescent="0.2">
      <c r="A12" s="38" t="s">
        <v>102</v>
      </c>
      <c r="B12" s="104">
        <v>10.1</v>
      </c>
      <c r="C12" s="104">
        <v>194</v>
      </c>
      <c r="D12" s="104">
        <v>21.7</v>
      </c>
      <c r="E12" s="104">
        <v>16.899999999999999</v>
      </c>
      <c r="F12" s="104">
        <v>22</v>
      </c>
      <c r="G12" s="104">
        <v>11.8</v>
      </c>
      <c r="H12" s="1"/>
      <c r="I12" s="3"/>
      <c r="J12" s="3"/>
      <c r="K12" s="3"/>
    </row>
    <row r="13" spans="1:11" ht="14.25" x14ac:dyDescent="0.2">
      <c r="A13" s="38" t="s">
        <v>103</v>
      </c>
      <c r="B13" s="104">
        <v>8.9499999999999993</v>
      </c>
      <c r="C13" s="104">
        <v>227</v>
      </c>
      <c r="D13" s="104">
        <v>19.600000000000001</v>
      </c>
      <c r="E13" s="104">
        <v>15.6</v>
      </c>
      <c r="F13" s="104">
        <v>19.3</v>
      </c>
      <c r="G13" s="104">
        <v>8.9499999999999993</v>
      </c>
      <c r="H13" s="1"/>
      <c r="I13" s="3"/>
      <c r="J13" s="3"/>
      <c r="K13" s="3"/>
    </row>
    <row r="14" spans="1:11" ht="14.25" x14ac:dyDescent="0.2">
      <c r="A14" s="38" t="s">
        <v>119</v>
      </c>
      <c r="B14" s="104">
        <v>9.4700000000000006</v>
      </c>
      <c r="C14" s="104">
        <v>195</v>
      </c>
      <c r="D14" s="104">
        <v>17.399999999999999</v>
      </c>
      <c r="E14" s="104">
        <v>16.600000000000001</v>
      </c>
      <c r="F14" s="104">
        <v>19.7</v>
      </c>
      <c r="G14" s="104">
        <v>8</v>
      </c>
      <c r="H14" s="1"/>
      <c r="I14" s="3"/>
      <c r="J14" s="3"/>
      <c r="K14" s="3"/>
    </row>
    <row r="15" spans="1:11" ht="16.5" x14ac:dyDescent="0.2">
      <c r="A15" s="38" t="s">
        <v>143</v>
      </c>
      <c r="B15" s="104">
        <v>9.33</v>
      </c>
      <c r="C15" s="104">
        <v>142</v>
      </c>
      <c r="D15" s="104">
        <v>17.2</v>
      </c>
      <c r="E15" s="104">
        <v>17.5</v>
      </c>
      <c r="F15" s="104">
        <v>22.9</v>
      </c>
      <c r="G15" s="104">
        <v>9.5299999999999994</v>
      </c>
      <c r="H15" s="1"/>
      <c r="I15" s="3"/>
      <c r="J15" s="3"/>
      <c r="K15" s="3"/>
    </row>
    <row r="16" spans="1:11" ht="16.5" x14ac:dyDescent="0.2">
      <c r="A16" s="38" t="s">
        <v>165</v>
      </c>
      <c r="B16" s="105" t="s">
        <v>201</v>
      </c>
      <c r="C16" s="104" t="s">
        <v>198</v>
      </c>
      <c r="D16" s="105" t="s">
        <v>203</v>
      </c>
      <c r="E16" s="105" t="s">
        <v>202</v>
      </c>
      <c r="F16" s="105" t="s">
        <v>199</v>
      </c>
      <c r="G16" s="105" t="s">
        <v>200</v>
      </c>
      <c r="H16" s="1"/>
      <c r="I16" s="7"/>
      <c r="J16" s="3"/>
      <c r="K16" s="3"/>
    </row>
    <row r="17" spans="1:11" ht="14.25" x14ac:dyDescent="0.2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.25" x14ac:dyDescent="0.2">
      <c r="A18" s="65" t="s">
        <v>121</v>
      </c>
      <c r="B18" s="104"/>
      <c r="C18" s="104"/>
      <c r="D18" s="104"/>
      <c r="E18" s="104"/>
      <c r="F18" s="104"/>
      <c r="G18" s="104"/>
      <c r="H18" s="1"/>
    </row>
    <row r="19" spans="1:11" ht="14.25" x14ac:dyDescent="0.2">
      <c r="A19" s="38" t="s">
        <v>71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.25" x14ac:dyDescent="0.2">
      <c r="A20" s="38" t="s">
        <v>58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.25" x14ac:dyDescent="0.2">
      <c r="A21" s="38" t="s">
        <v>59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.25" x14ac:dyDescent="0.2">
      <c r="A22" s="38" t="s">
        <v>60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.25" x14ac:dyDescent="0.2">
      <c r="A23" s="38" t="s">
        <v>61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.25" x14ac:dyDescent="0.2">
      <c r="A24" s="38" t="s">
        <v>62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.25" x14ac:dyDescent="0.2">
      <c r="A25" s="38" t="s">
        <v>63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.25" x14ac:dyDescent="0.2">
      <c r="A26" s="38" t="s">
        <v>64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.25" x14ac:dyDescent="0.2">
      <c r="A27" s="38" t="s">
        <v>65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.25" x14ac:dyDescent="0.2">
      <c r="A28" s="38" t="s">
        <v>66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.25" x14ac:dyDescent="0.2">
      <c r="A29" s="38" t="s">
        <v>68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.25" x14ac:dyDescent="0.2">
      <c r="A30" s="38" t="s">
        <v>69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.25" x14ac:dyDescent="0.2">
      <c r="A31" s="41"/>
      <c r="B31" s="104"/>
      <c r="C31" s="104"/>
      <c r="D31" s="104"/>
      <c r="E31" s="104"/>
      <c r="F31" s="104"/>
      <c r="G31" s="104"/>
    </row>
    <row r="32" spans="1:11" ht="14.25" x14ac:dyDescent="0.2">
      <c r="A32" s="65" t="s">
        <v>168</v>
      </c>
      <c r="B32" s="104"/>
      <c r="C32" s="104"/>
      <c r="D32" s="104"/>
      <c r="E32" s="104"/>
      <c r="F32" s="104"/>
      <c r="G32" s="104"/>
    </row>
    <row r="33" spans="1:7" ht="14.25" x14ac:dyDescent="0.2">
      <c r="A33" s="41" t="s">
        <v>71</v>
      </c>
      <c r="B33" s="104">
        <v>8.77</v>
      </c>
      <c r="C33" s="104">
        <v>141</v>
      </c>
      <c r="D33" s="104">
        <v>16.7</v>
      </c>
      <c r="E33" s="104">
        <v>15.2</v>
      </c>
      <c r="F33" s="104">
        <v>22.2</v>
      </c>
      <c r="G33" s="104">
        <v>9.7899999999999991</v>
      </c>
    </row>
    <row r="34" spans="1:7" ht="14.25" x14ac:dyDescent="0.2">
      <c r="A34" s="41" t="s">
        <v>58</v>
      </c>
      <c r="B34" s="104">
        <v>8.58</v>
      </c>
      <c r="C34" s="104">
        <v>146</v>
      </c>
      <c r="D34" s="104">
        <v>16.7</v>
      </c>
      <c r="E34" s="104">
        <v>15.6</v>
      </c>
      <c r="F34" s="104">
        <v>22.103000000000002</v>
      </c>
      <c r="G34" s="104">
        <v>9.7899999999999991</v>
      </c>
    </row>
    <row r="35" spans="1:7" ht="14.25" x14ac:dyDescent="0.2">
      <c r="A35" s="41" t="s">
        <v>59</v>
      </c>
      <c r="B35" s="104">
        <v>8.3699999999999992</v>
      </c>
      <c r="C35" s="104">
        <v>152</v>
      </c>
      <c r="D35" s="104">
        <v>17</v>
      </c>
      <c r="E35" s="104">
        <v>16</v>
      </c>
      <c r="F35" s="104">
        <v>21.2</v>
      </c>
      <c r="G35" s="104">
        <v>9.76</v>
      </c>
    </row>
    <row r="36" spans="1:7" ht="14.25" x14ac:dyDescent="0.2">
      <c r="A36" s="37" t="s">
        <v>60</v>
      </c>
      <c r="B36" s="110" t="s">
        <v>10</v>
      </c>
      <c r="C36" s="110" t="s">
        <v>10</v>
      </c>
      <c r="D36" s="110" t="s">
        <v>10</v>
      </c>
      <c r="E36" s="110" t="s">
        <v>10</v>
      </c>
      <c r="F36" s="110" t="s">
        <v>10</v>
      </c>
      <c r="G36" s="110" t="s">
        <v>10</v>
      </c>
    </row>
    <row r="37" spans="1:7" ht="16.5" x14ac:dyDescent="0.2">
      <c r="A37" s="38" t="s">
        <v>144</v>
      </c>
      <c r="B37" s="38"/>
      <c r="C37" s="38"/>
      <c r="D37" s="38"/>
      <c r="E37" s="38"/>
      <c r="F37" s="38"/>
      <c r="G37" s="38"/>
    </row>
    <row r="38" spans="1:7" ht="14.25" x14ac:dyDescent="0.2">
      <c r="A38" s="38" t="s">
        <v>57</v>
      </c>
      <c r="B38" s="111"/>
      <c r="C38" s="111" t="s">
        <v>107</v>
      </c>
      <c r="D38" s="111"/>
      <c r="E38" s="111"/>
      <c r="F38" s="111"/>
      <c r="G38" s="111"/>
    </row>
    <row r="39" spans="1:7" ht="14.25" x14ac:dyDescent="0.2">
      <c r="A39" s="38" t="s">
        <v>145</v>
      </c>
      <c r="B39" s="38"/>
      <c r="C39" s="38"/>
      <c r="D39" s="38"/>
      <c r="E39" s="38"/>
      <c r="F39" s="38"/>
      <c r="G39" s="38"/>
    </row>
    <row r="40" spans="1:7" ht="14.25" x14ac:dyDescent="0.2">
      <c r="A40" s="38" t="s">
        <v>26</v>
      </c>
      <c r="B40" s="71">
        <f ca="1">NOW()</f>
        <v>43508.410904166667</v>
      </c>
      <c r="C40" s="38"/>
      <c r="D40" s="38"/>
      <c r="E40" s="38"/>
      <c r="F40" s="38"/>
      <c r="G40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0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" customHeight="1" x14ac:dyDescent="0.2">
      <c r="A2" s="112" t="s">
        <v>15</v>
      </c>
      <c r="B2" s="80" t="s">
        <v>44</v>
      </c>
      <c r="C2" s="80" t="s">
        <v>17</v>
      </c>
      <c r="D2" s="80" t="s">
        <v>89</v>
      </c>
      <c r="E2" s="113" t="s">
        <v>52</v>
      </c>
      <c r="F2" s="113" t="s">
        <v>45</v>
      </c>
      <c r="G2" s="80" t="s">
        <v>49</v>
      </c>
      <c r="H2" s="80" t="s">
        <v>146</v>
      </c>
      <c r="I2" s="114" t="s">
        <v>48</v>
      </c>
    </row>
    <row r="3" spans="1:9" ht="15.6" customHeight="1" x14ac:dyDescent="0.2">
      <c r="A3" s="85" t="s">
        <v>16</v>
      </c>
      <c r="B3" s="45" t="s">
        <v>147</v>
      </c>
      <c r="C3" s="45" t="s">
        <v>148</v>
      </c>
      <c r="D3" s="45" t="s">
        <v>149</v>
      </c>
      <c r="E3" s="45" t="s">
        <v>149</v>
      </c>
      <c r="F3" s="45" t="s">
        <v>150</v>
      </c>
      <c r="G3" s="45" t="s">
        <v>151</v>
      </c>
      <c r="H3" s="45"/>
      <c r="I3" s="45" t="s">
        <v>152</v>
      </c>
    </row>
    <row r="4" spans="1:9" ht="14.25" x14ac:dyDescent="0.2">
      <c r="A4" s="38"/>
      <c r="B4" s="57" t="s">
        <v>108</v>
      </c>
      <c r="C4" s="115"/>
      <c r="D4" s="115"/>
      <c r="E4" s="115"/>
      <c r="F4" s="115"/>
      <c r="G4" s="115"/>
      <c r="H4" s="115"/>
      <c r="I4" s="115"/>
    </row>
    <row r="5" spans="1:9" ht="14.25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ht="14.25" x14ac:dyDescent="0.2">
      <c r="A6" s="38" t="s">
        <v>53</v>
      </c>
      <c r="B6" s="104">
        <v>32.159999999999997</v>
      </c>
      <c r="C6" s="104">
        <v>37.1</v>
      </c>
      <c r="D6" s="104">
        <v>50.24</v>
      </c>
      <c r="E6" s="104">
        <v>39.54</v>
      </c>
      <c r="F6" s="104">
        <v>78.489999999999995</v>
      </c>
      <c r="G6" s="104">
        <v>32.75</v>
      </c>
      <c r="H6" s="104">
        <v>26.72</v>
      </c>
      <c r="I6" s="104">
        <v>25.47</v>
      </c>
    </row>
    <row r="7" spans="1:9" ht="14.25" x14ac:dyDescent="0.2">
      <c r="A7" s="38" t="s">
        <v>55</v>
      </c>
      <c r="B7" s="104">
        <v>35.950000000000003</v>
      </c>
      <c r="C7" s="104">
        <v>40.270000000000003</v>
      </c>
      <c r="D7" s="104">
        <v>52.8</v>
      </c>
      <c r="E7" s="104">
        <v>42.88</v>
      </c>
      <c r="F7" s="104">
        <v>59.62</v>
      </c>
      <c r="G7" s="104">
        <v>39.29</v>
      </c>
      <c r="H7" s="104">
        <v>31.99</v>
      </c>
      <c r="I7" s="104">
        <v>32.26</v>
      </c>
    </row>
    <row r="8" spans="1:9" ht="14.25" x14ac:dyDescent="0.2">
      <c r="A8" s="38" t="s">
        <v>56</v>
      </c>
      <c r="B8" s="104">
        <v>53.2</v>
      </c>
      <c r="C8" s="104">
        <v>54.5</v>
      </c>
      <c r="D8" s="104">
        <v>86.12</v>
      </c>
      <c r="E8" s="104">
        <v>58.68</v>
      </c>
      <c r="F8" s="104">
        <v>77.239999999999995</v>
      </c>
      <c r="G8" s="104">
        <v>60.76</v>
      </c>
      <c r="H8" s="104">
        <v>51.52</v>
      </c>
      <c r="I8" s="104">
        <v>51.34</v>
      </c>
    </row>
    <row r="9" spans="1:9" ht="14.25" x14ac:dyDescent="0.2">
      <c r="A9" s="38" t="s">
        <v>67</v>
      </c>
      <c r="B9" s="104">
        <v>51.9</v>
      </c>
      <c r="C9" s="104">
        <v>53.22</v>
      </c>
      <c r="D9" s="104">
        <v>83.2</v>
      </c>
      <c r="E9" s="104">
        <v>57.19</v>
      </c>
      <c r="F9" s="104">
        <v>100.15</v>
      </c>
      <c r="G9" s="104">
        <v>56.09</v>
      </c>
      <c r="H9" s="104">
        <v>48.11</v>
      </c>
      <c r="I9" s="104">
        <v>50.33</v>
      </c>
    </row>
    <row r="10" spans="1:9" ht="14.25" x14ac:dyDescent="0.2">
      <c r="A10" s="38" t="s">
        <v>91</v>
      </c>
      <c r="B10" s="104">
        <v>47.13</v>
      </c>
      <c r="C10" s="104">
        <v>48.6</v>
      </c>
      <c r="D10" s="104">
        <v>65.87</v>
      </c>
      <c r="E10" s="104">
        <v>56.17</v>
      </c>
      <c r="F10" s="104">
        <v>91.83</v>
      </c>
      <c r="G10" s="104">
        <v>46.66</v>
      </c>
      <c r="H10" s="104">
        <v>51.8</v>
      </c>
      <c r="I10" s="104">
        <v>43.24</v>
      </c>
    </row>
    <row r="11" spans="1:9" ht="14.25" x14ac:dyDescent="0.2">
      <c r="A11" s="38" t="s">
        <v>99</v>
      </c>
      <c r="B11" s="104">
        <v>38.229999999999997</v>
      </c>
      <c r="C11" s="104">
        <v>60.66</v>
      </c>
      <c r="D11" s="104">
        <v>59.12</v>
      </c>
      <c r="E11" s="104">
        <v>43.7</v>
      </c>
      <c r="F11" s="104">
        <v>68.23</v>
      </c>
      <c r="G11" s="104">
        <v>39.43</v>
      </c>
      <c r="H11" s="104">
        <v>43.93</v>
      </c>
      <c r="I11" s="104">
        <v>39.76</v>
      </c>
    </row>
    <row r="12" spans="1:9" ht="14.25" x14ac:dyDescent="0.2">
      <c r="A12" s="38" t="s">
        <v>102</v>
      </c>
      <c r="B12" s="104">
        <v>31.6</v>
      </c>
      <c r="C12" s="104">
        <v>45.74</v>
      </c>
      <c r="D12" s="104">
        <v>66.72</v>
      </c>
      <c r="E12" s="104">
        <v>37.81</v>
      </c>
      <c r="F12" s="104">
        <v>57.96</v>
      </c>
      <c r="G12" s="104">
        <v>37.479999999999997</v>
      </c>
      <c r="H12" s="104">
        <v>33.43</v>
      </c>
      <c r="I12" s="104">
        <v>31.36</v>
      </c>
    </row>
    <row r="13" spans="1:9" ht="14.25" x14ac:dyDescent="0.2">
      <c r="A13" s="38" t="s">
        <v>103</v>
      </c>
      <c r="B13" s="104">
        <v>29.86</v>
      </c>
      <c r="C13" s="104">
        <v>45.87</v>
      </c>
      <c r="D13" s="104">
        <v>57.81</v>
      </c>
      <c r="E13" s="104">
        <v>35.270000000000003</v>
      </c>
      <c r="F13" s="104">
        <v>58.26</v>
      </c>
      <c r="G13" s="104">
        <v>39.25</v>
      </c>
      <c r="H13" s="104">
        <v>32.229999999999997</v>
      </c>
      <c r="I13" s="104">
        <v>30.07</v>
      </c>
    </row>
    <row r="14" spans="1:9" ht="14.25" x14ac:dyDescent="0.2">
      <c r="A14" s="38" t="s">
        <v>119</v>
      </c>
      <c r="B14" s="104">
        <v>32.549999999999997</v>
      </c>
      <c r="C14" s="104">
        <v>40.92</v>
      </c>
      <c r="D14" s="104">
        <v>53.54</v>
      </c>
      <c r="E14" s="104">
        <v>38.729999999999997</v>
      </c>
      <c r="F14" s="104">
        <v>66.73</v>
      </c>
      <c r="G14" s="104">
        <v>37.43</v>
      </c>
      <c r="H14" s="104">
        <v>33.07</v>
      </c>
      <c r="I14" s="104">
        <v>34.75</v>
      </c>
    </row>
    <row r="15" spans="1:9" ht="16.5" x14ac:dyDescent="0.2">
      <c r="A15" s="38" t="s">
        <v>143</v>
      </c>
      <c r="B15" s="104">
        <v>30.04</v>
      </c>
      <c r="C15" s="104">
        <v>31.87</v>
      </c>
      <c r="D15" s="104">
        <v>54.57</v>
      </c>
      <c r="E15" s="104">
        <v>38.270000000000003</v>
      </c>
      <c r="F15" s="104">
        <v>66.72</v>
      </c>
      <c r="G15" s="104">
        <v>30.35</v>
      </c>
      <c r="H15" s="104">
        <v>34.159999999999997</v>
      </c>
      <c r="I15" s="104">
        <v>31.21</v>
      </c>
    </row>
    <row r="16" spans="1:9" ht="16.5" x14ac:dyDescent="0.2">
      <c r="A16" s="38" t="s">
        <v>165</v>
      </c>
      <c r="B16" s="105" t="s">
        <v>167</v>
      </c>
      <c r="C16" s="105" t="s">
        <v>171</v>
      </c>
      <c r="D16" s="105" t="s">
        <v>174</v>
      </c>
      <c r="E16" s="105" t="s">
        <v>169</v>
      </c>
      <c r="F16" s="105" t="s">
        <v>175</v>
      </c>
      <c r="G16" s="142" t="s">
        <v>170</v>
      </c>
      <c r="H16" s="142" t="s">
        <v>171</v>
      </c>
      <c r="I16" s="142" t="s">
        <v>171</v>
      </c>
    </row>
    <row r="17" spans="1:15" ht="14.25" x14ac:dyDescent="0.2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.25" x14ac:dyDescent="0.2">
      <c r="A18" s="38" t="s">
        <v>121</v>
      </c>
      <c r="B18" s="104"/>
      <c r="C18" s="104"/>
      <c r="D18" s="104"/>
      <c r="E18" s="104"/>
      <c r="F18" s="104"/>
      <c r="G18" s="104"/>
      <c r="H18" s="104"/>
      <c r="I18" s="104"/>
    </row>
    <row r="19" spans="1:15" ht="14.25" x14ac:dyDescent="0.2">
      <c r="A19" s="38" t="s">
        <v>58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.25" x14ac:dyDescent="0.2">
      <c r="A20" s="38" t="s">
        <v>59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.25" x14ac:dyDescent="0.2">
      <c r="A21" s="38" t="s">
        <v>60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.25" x14ac:dyDescent="0.2">
      <c r="A22" s="38" t="s">
        <v>61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.25" x14ac:dyDescent="0.2">
      <c r="A23" s="38" t="s">
        <v>62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.25" x14ac:dyDescent="0.2">
      <c r="A24" s="38" t="s">
        <v>63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.25" x14ac:dyDescent="0.2">
      <c r="A25" s="38" t="s">
        <v>64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.25" x14ac:dyDescent="0.2">
      <c r="A26" s="38" t="s">
        <v>65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.25" x14ac:dyDescent="0.2">
      <c r="A27" s="38" t="s">
        <v>66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.25" x14ac:dyDescent="0.2">
      <c r="A28" s="38" t="s">
        <v>68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.25" x14ac:dyDescent="0.2">
      <c r="A29" s="38" t="s">
        <v>69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.25" x14ac:dyDescent="0.2">
      <c r="A30" s="38" t="s">
        <v>71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.25" x14ac:dyDescent="0.2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.25" x14ac:dyDescent="0.2">
      <c r="A32" s="38" t="s">
        <v>168</v>
      </c>
      <c r="B32" s="104"/>
      <c r="C32" s="104"/>
      <c r="D32" s="104"/>
      <c r="E32" s="104"/>
      <c r="F32" s="104"/>
      <c r="G32" s="104"/>
      <c r="H32" s="104"/>
      <c r="I32" s="104"/>
    </row>
    <row r="33" spans="1:9" ht="14.25" x14ac:dyDescent="0.2">
      <c r="A33" s="41" t="s">
        <v>58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.25" x14ac:dyDescent="0.2">
      <c r="A34" s="41" t="s">
        <v>59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.25" x14ac:dyDescent="0.2">
      <c r="A35" s="41" t="s">
        <v>60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.25" x14ac:dyDescent="0.2">
      <c r="A36" s="37" t="s">
        <v>61</v>
      </c>
      <c r="B36" s="110">
        <v>28.44</v>
      </c>
      <c r="C36" s="110">
        <v>33.94</v>
      </c>
      <c r="D36" s="110">
        <v>53.5</v>
      </c>
      <c r="E36" s="110">
        <v>37.130000000000003</v>
      </c>
      <c r="F36" s="110">
        <v>61.88</v>
      </c>
      <c r="G36" s="110">
        <v>26.21</v>
      </c>
      <c r="H36" s="110" t="s">
        <v>10</v>
      </c>
      <c r="I36" s="110">
        <v>33.130000000000003</v>
      </c>
    </row>
    <row r="37" spans="1:9" ht="16.5" x14ac:dyDescent="0.2">
      <c r="A37" s="79" t="s">
        <v>162</v>
      </c>
      <c r="B37" s="117"/>
      <c r="C37" s="117"/>
      <c r="D37" s="117"/>
      <c r="E37" s="117"/>
      <c r="F37" s="117"/>
      <c r="G37" s="117"/>
      <c r="H37" s="117"/>
      <c r="I37" s="117"/>
    </row>
    <row r="38" spans="1:9" ht="16.5" x14ac:dyDescent="0.2">
      <c r="A38" s="38" t="s">
        <v>163</v>
      </c>
      <c r="B38" s="117"/>
      <c r="C38" s="117"/>
      <c r="D38" s="117"/>
      <c r="E38" s="117"/>
      <c r="F38" s="117"/>
      <c r="G38" s="117"/>
      <c r="H38" s="117"/>
      <c r="I38" s="117"/>
    </row>
    <row r="39" spans="1:9" ht="14.25" x14ac:dyDescent="0.2">
      <c r="A39" s="38" t="s">
        <v>153</v>
      </c>
      <c r="B39" s="38"/>
      <c r="C39" s="38"/>
      <c r="D39" s="38"/>
      <c r="E39" s="38"/>
      <c r="F39" s="117"/>
      <c r="G39" s="38"/>
      <c r="H39" s="38"/>
      <c r="I39" s="38"/>
    </row>
    <row r="40" spans="1:9" ht="14.25" x14ac:dyDescent="0.2">
      <c r="A40" s="38" t="s">
        <v>26</v>
      </c>
      <c r="B40" s="71">
        <f ca="1">NOW()</f>
        <v>43508.410904166667</v>
      </c>
      <c r="C40" s="38"/>
      <c r="D40" s="38"/>
      <c r="E40" s="38"/>
      <c r="F40" s="38"/>
      <c r="G40" s="38"/>
      <c r="H40" s="38"/>
      <c r="I40" s="38"/>
    </row>
    <row r="41" spans="1:9" ht="15.75" x14ac:dyDescent="0.25">
      <c r="C41" s="14"/>
      <c r="G41" s="14"/>
      <c r="H41" s="14"/>
      <c r="I41" s="14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H57" s="14"/>
      <c r="I57" s="14"/>
    </row>
    <row r="58" spans="3:9" ht="15.75" x14ac:dyDescent="0.25">
      <c r="C58" s="14"/>
      <c r="H58" s="14"/>
      <c r="I58" s="14"/>
    </row>
    <row r="59" spans="3:9" ht="15.75" x14ac:dyDescent="0.25">
      <c r="C59" s="14"/>
      <c r="F59" s="16"/>
      <c r="H59" s="14"/>
      <c r="I59" s="14"/>
    </row>
    <row r="60" spans="3:9" ht="15.75" x14ac:dyDescent="0.25">
      <c r="F60" s="16"/>
      <c r="H60" s="14"/>
      <c r="I60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2"/>
  <sheetViews>
    <sheetView showGridLines="0" zoomScaleNormal="100" workbookViewId="0">
      <selection sqref="A1:I41"/>
    </sheetView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7" t="s">
        <v>43</v>
      </c>
      <c r="B1" s="37"/>
      <c r="C1" s="37"/>
      <c r="D1" s="37"/>
      <c r="E1" s="37"/>
      <c r="F1" s="37"/>
      <c r="G1" s="37"/>
    </row>
    <row r="2" spans="1:8" ht="15.6" customHeight="1" x14ac:dyDescent="0.2">
      <c r="A2" s="41" t="s">
        <v>15</v>
      </c>
      <c r="B2" s="80" t="s">
        <v>44</v>
      </c>
      <c r="C2" s="118" t="s">
        <v>17</v>
      </c>
      <c r="D2" s="118" t="s">
        <v>89</v>
      </c>
      <c r="E2" s="118" t="s">
        <v>45</v>
      </c>
      <c r="F2" s="80" t="s">
        <v>46</v>
      </c>
      <c r="G2" s="40" t="s">
        <v>47</v>
      </c>
    </row>
    <row r="3" spans="1:8" ht="15.6" customHeight="1" x14ac:dyDescent="0.2">
      <c r="A3" s="37" t="s">
        <v>16</v>
      </c>
      <c r="B3" s="45" t="s">
        <v>154</v>
      </c>
      <c r="C3" s="45" t="s">
        <v>155</v>
      </c>
      <c r="D3" s="45" t="s">
        <v>156</v>
      </c>
      <c r="E3" s="45" t="s">
        <v>157</v>
      </c>
      <c r="F3" s="45" t="s">
        <v>158</v>
      </c>
      <c r="G3" s="45" t="s">
        <v>159</v>
      </c>
    </row>
    <row r="4" spans="1:8" ht="14.25" x14ac:dyDescent="0.2">
      <c r="A4" s="38"/>
      <c r="B4" s="57" t="s">
        <v>109</v>
      </c>
      <c r="C4" s="115"/>
      <c r="D4" s="115"/>
      <c r="E4" s="115"/>
      <c r="F4" s="115"/>
      <c r="G4" s="115"/>
    </row>
    <row r="5" spans="1:8" ht="14.25" x14ac:dyDescent="0.2">
      <c r="A5" s="38"/>
      <c r="B5" s="38"/>
      <c r="C5" s="38"/>
      <c r="D5" s="38"/>
      <c r="E5" s="38"/>
      <c r="F5" s="38"/>
      <c r="G5" s="38"/>
    </row>
    <row r="6" spans="1:8" ht="14.25" x14ac:dyDescent="0.2">
      <c r="A6" s="38" t="s">
        <v>53</v>
      </c>
      <c r="B6" s="104">
        <v>331.17</v>
      </c>
      <c r="C6" s="104">
        <v>255.23</v>
      </c>
      <c r="D6" s="104">
        <v>152.46</v>
      </c>
      <c r="E6" s="119" t="s">
        <v>10</v>
      </c>
      <c r="F6" s="104">
        <v>248.82</v>
      </c>
      <c r="G6" s="104">
        <v>220.89</v>
      </c>
      <c r="H6" s="16"/>
    </row>
    <row r="7" spans="1:8" ht="14.25" x14ac:dyDescent="0.2">
      <c r="A7" s="38" t="s">
        <v>55</v>
      </c>
      <c r="B7" s="104">
        <v>311.27</v>
      </c>
      <c r="C7" s="104">
        <v>220.9</v>
      </c>
      <c r="D7" s="104">
        <v>151.04</v>
      </c>
      <c r="E7" s="119" t="s">
        <v>10</v>
      </c>
      <c r="F7" s="104">
        <v>224.92</v>
      </c>
      <c r="G7" s="104">
        <v>209.23</v>
      </c>
      <c r="H7" s="16"/>
    </row>
    <row r="8" spans="1:8" ht="14.25" x14ac:dyDescent="0.2">
      <c r="A8" s="38" t="s">
        <v>56</v>
      </c>
      <c r="B8" s="104">
        <v>345.52</v>
      </c>
      <c r="C8" s="104">
        <v>273.83999999999997</v>
      </c>
      <c r="D8" s="104">
        <v>219.72</v>
      </c>
      <c r="E8" s="119" t="s">
        <v>10</v>
      </c>
      <c r="F8" s="104">
        <v>263.63</v>
      </c>
      <c r="G8" s="104">
        <v>240.65</v>
      </c>
      <c r="H8" s="16"/>
    </row>
    <row r="9" spans="1:8" ht="14.25" x14ac:dyDescent="0.2">
      <c r="A9" s="38" t="s">
        <v>67</v>
      </c>
      <c r="B9" s="104">
        <v>393.53</v>
      </c>
      <c r="C9" s="104">
        <v>275.13</v>
      </c>
      <c r="D9" s="104">
        <v>246.75</v>
      </c>
      <c r="E9" s="119" t="s">
        <v>10</v>
      </c>
      <c r="F9" s="104">
        <v>307.58999999999997</v>
      </c>
      <c r="G9" s="104">
        <v>265.68</v>
      </c>
      <c r="H9" s="16"/>
    </row>
    <row r="10" spans="1:8" ht="14.25" x14ac:dyDescent="0.2">
      <c r="A10" s="38" t="s">
        <v>91</v>
      </c>
      <c r="B10" s="104">
        <v>468.11</v>
      </c>
      <c r="C10" s="104">
        <v>331.52</v>
      </c>
      <c r="D10" s="104">
        <v>241.57</v>
      </c>
      <c r="E10" s="119" t="s">
        <v>10</v>
      </c>
      <c r="F10" s="104">
        <v>354.22</v>
      </c>
      <c r="G10" s="104">
        <v>329.31</v>
      </c>
      <c r="H10" s="16"/>
    </row>
    <row r="11" spans="1:8" ht="14.25" x14ac:dyDescent="0.2">
      <c r="A11" s="38" t="s">
        <v>99</v>
      </c>
      <c r="B11" s="104">
        <v>489.94</v>
      </c>
      <c r="C11" s="104">
        <v>377.71</v>
      </c>
      <c r="D11" s="104">
        <v>238.87</v>
      </c>
      <c r="E11" s="119" t="s">
        <v>10</v>
      </c>
      <c r="F11" s="104">
        <v>359.7</v>
      </c>
      <c r="G11" s="104">
        <v>337.23</v>
      </c>
      <c r="H11" s="16"/>
    </row>
    <row r="12" spans="1:8" ht="14.25" x14ac:dyDescent="0.2">
      <c r="A12" s="38" t="s">
        <v>102</v>
      </c>
      <c r="B12" s="104">
        <v>368.49</v>
      </c>
      <c r="C12" s="104">
        <v>304.27</v>
      </c>
      <c r="D12" s="104">
        <v>209.97</v>
      </c>
      <c r="E12" s="119" t="s">
        <v>10</v>
      </c>
      <c r="F12" s="104">
        <v>301.2</v>
      </c>
      <c r="G12" s="104">
        <v>256.58</v>
      </c>
      <c r="H12" s="16"/>
    </row>
    <row r="13" spans="1:8" ht="14.25" x14ac:dyDescent="0.2">
      <c r="A13" s="38" t="s">
        <v>103</v>
      </c>
      <c r="B13" s="104">
        <v>324.56</v>
      </c>
      <c r="C13" s="104">
        <v>261.19</v>
      </c>
      <c r="D13" s="104">
        <v>153.16999999999999</v>
      </c>
      <c r="E13" s="119" t="s">
        <v>10</v>
      </c>
      <c r="F13" s="104">
        <v>262.2</v>
      </c>
      <c r="G13" s="104">
        <v>260.23</v>
      </c>
    </row>
    <row r="14" spans="1:8" ht="14.25" x14ac:dyDescent="0.2">
      <c r="A14" s="38" t="s">
        <v>119</v>
      </c>
      <c r="B14" s="104">
        <v>316.88</v>
      </c>
      <c r="C14" s="104">
        <v>208.61</v>
      </c>
      <c r="D14" s="104">
        <v>145.1</v>
      </c>
      <c r="E14" s="119" t="s">
        <v>10</v>
      </c>
      <c r="F14" s="104">
        <v>267.94</v>
      </c>
      <c r="G14" s="104">
        <v>282.49</v>
      </c>
    </row>
    <row r="15" spans="1:8" ht="16.5" x14ac:dyDescent="0.2">
      <c r="A15" s="38" t="s">
        <v>143</v>
      </c>
      <c r="B15" s="104">
        <v>345.02</v>
      </c>
      <c r="C15" s="104">
        <v>260.88</v>
      </c>
      <c r="D15" s="104">
        <v>173.53</v>
      </c>
      <c r="E15" s="119" t="s">
        <v>10</v>
      </c>
      <c r="F15" s="104">
        <v>291.14999999999998</v>
      </c>
      <c r="G15" s="104">
        <v>239.15</v>
      </c>
    </row>
    <row r="16" spans="1:8" ht="16.5" x14ac:dyDescent="0.2">
      <c r="A16" s="38" t="s">
        <v>165</v>
      </c>
      <c r="B16" s="104" t="s">
        <v>176</v>
      </c>
      <c r="C16" s="104" t="s">
        <v>177</v>
      </c>
      <c r="D16" s="129" t="s">
        <v>178</v>
      </c>
      <c r="E16" s="119" t="s">
        <v>10</v>
      </c>
      <c r="F16" s="104" t="s">
        <v>179</v>
      </c>
      <c r="G16" s="104" t="s">
        <v>180</v>
      </c>
    </row>
    <row r="17" spans="1:13" ht="14.25" x14ac:dyDescent="0.2">
      <c r="A17" s="120"/>
      <c r="B17" s="104"/>
      <c r="C17" s="104"/>
      <c r="D17" s="104"/>
      <c r="E17" s="119"/>
      <c r="F17" s="104"/>
      <c r="G17" s="104"/>
      <c r="H17" s="13"/>
    </row>
    <row r="18" spans="1:13" ht="14.25" x14ac:dyDescent="0.2">
      <c r="A18" s="38" t="s">
        <v>121</v>
      </c>
      <c r="B18" s="104"/>
      <c r="C18" s="104"/>
      <c r="D18" s="104"/>
      <c r="E18" s="119"/>
      <c r="F18" s="104"/>
      <c r="G18" s="104"/>
      <c r="H18" s="13"/>
    </row>
    <row r="19" spans="1:13" ht="14.25" x14ac:dyDescent="0.2">
      <c r="A19" s="38" t="s">
        <v>58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.25" x14ac:dyDescent="0.2">
      <c r="A20" s="38" t="s">
        <v>59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.25" x14ac:dyDescent="0.2">
      <c r="A21" s="38" t="s">
        <v>60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.25" x14ac:dyDescent="0.2">
      <c r="A22" s="38" t="s">
        <v>61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.25" x14ac:dyDescent="0.2">
      <c r="A23" s="38" t="s">
        <v>62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.25" x14ac:dyDescent="0.2">
      <c r="A24" s="38" t="s">
        <v>63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.25" x14ac:dyDescent="0.2">
      <c r="A25" s="38" t="s">
        <v>64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.25" x14ac:dyDescent="0.2">
      <c r="A26" s="38" t="s">
        <v>65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.25" x14ac:dyDescent="0.2">
      <c r="A27" s="38" t="s">
        <v>66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.25" x14ac:dyDescent="0.2">
      <c r="A28" s="38" t="s">
        <v>68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.25" x14ac:dyDescent="0.2">
      <c r="A29" s="38" t="s">
        <v>69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.25" x14ac:dyDescent="0.2">
      <c r="A30" s="38" t="s">
        <v>71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.25" x14ac:dyDescent="0.2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.25" x14ac:dyDescent="0.2">
      <c r="A32" s="38" t="s">
        <v>168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.25" x14ac:dyDescent="0.2">
      <c r="A33" s="120" t="s">
        <v>58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.25" x14ac:dyDescent="0.2">
      <c r="A34" s="120" t="s">
        <v>59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.25" x14ac:dyDescent="0.2">
      <c r="A35" s="38" t="s">
        <v>60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.25" x14ac:dyDescent="0.2">
      <c r="A36" s="121" t="s">
        <v>61</v>
      </c>
      <c r="B36" s="110">
        <v>314.92</v>
      </c>
      <c r="C36" s="110">
        <v>247.5</v>
      </c>
      <c r="D36" s="110">
        <v>190.5</v>
      </c>
      <c r="E36" s="122" t="s">
        <v>10</v>
      </c>
      <c r="F36" s="110" t="s">
        <v>10</v>
      </c>
      <c r="G36" s="110">
        <v>219</v>
      </c>
      <c r="I36" s="6"/>
      <c r="J36" s="6"/>
      <c r="K36" s="6"/>
      <c r="L36" s="6"/>
      <c r="M36" s="6"/>
    </row>
    <row r="37" spans="1:13" ht="16.5" x14ac:dyDescent="0.2">
      <c r="A37" s="79" t="s">
        <v>164</v>
      </c>
      <c r="B37" s="123"/>
      <c r="C37" s="123"/>
      <c r="D37" s="123"/>
      <c r="E37" s="123"/>
      <c r="F37" s="123"/>
      <c r="G37" s="123"/>
      <c r="I37" s="11"/>
      <c r="J37" s="6"/>
      <c r="K37" s="6"/>
      <c r="L37" s="6"/>
      <c r="M37" s="6"/>
    </row>
    <row r="38" spans="1:13" ht="16.5" x14ac:dyDescent="0.2">
      <c r="A38" s="79" t="s">
        <v>160</v>
      </c>
      <c r="B38" s="124"/>
      <c r="C38" s="124"/>
      <c r="D38" s="124"/>
      <c r="E38" s="124"/>
      <c r="F38" s="124"/>
      <c r="G38" s="124"/>
      <c r="I38" s="11"/>
      <c r="J38" s="6"/>
      <c r="K38" s="6"/>
      <c r="L38" s="6"/>
      <c r="M38" s="6"/>
    </row>
    <row r="39" spans="1:13" ht="14.25" x14ac:dyDescent="0.2">
      <c r="A39" s="38" t="s">
        <v>90</v>
      </c>
      <c r="B39" s="124"/>
      <c r="C39" s="124"/>
      <c r="D39" s="124"/>
      <c r="E39" s="124"/>
      <c r="F39" s="124"/>
      <c r="G39" s="124"/>
      <c r="H39" s="1"/>
      <c r="I39" s="11"/>
      <c r="J39" s="6"/>
      <c r="K39" s="6"/>
      <c r="L39" s="6"/>
      <c r="M39" s="6"/>
    </row>
    <row r="40" spans="1:13" ht="14.25" x14ac:dyDescent="0.2">
      <c r="A40" s="38" t="s">
        <v>161</v>
      </c>
      <c r="B40" s="38"/>
      <c r="C40" s="38"/>
      <c r="D40" s="38"/>
      <c r="E40" s="38"/>
      <c r="F40" s="38"/>
      <c r="G40" s="38"/>
      <c r="I40" s="11"/>
      <c r="J40" s="6"/>
      <c r="K40" s="6"/>
      <c r="L40" s="6"/>
      <c r="M40" s="6"/>
    </row>
    <row r="41" spans="1:13" ht="14.25" x14ac:dyDescent="0.2">
      <c r="A41" s="38" t="s">
        <v>26</v>
      </c>
      <c r="B41" s="71">
        <f ca="1">NOW()</f>
        <v>43508.410904166667</v>
      </c>
      <c r="C41" s="38"/>
      <c r="D41" s="38"/>
      <c r="E41" s="38"/>
      <c r="F41" s="38"/>
      <c r="G41" s="38"/>
      <c r="I41" s="12"/>
      <c r="J41" s="8"/>
      <c r="K41" s="8"/>
      <c r="L41" s="8"/>
      <c r="M41" s="8"/>
    </row>
    <row r="42" spans="1:13" ht="15.75" x14ac:dyDescent="0.25">
      <c r="F42" s="14"/>
      <c r="I42" s="12"/>
      <c r="J42" s="8"/>
      <c r="K42" s="8"/>
      <c r="L42" s="8"/>
      <c r="M42" s="8"/>
    </row>
    <row r="43" spans="1:13" x14ac:dyDescent="0.2">
      <c r="I43" s="11"/>
      <c r="J43" s="11"/>
      <c r="K43" s="6"/>
      <c r="L43" s="6"/>
      <c r="M43" s="6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6" spans="1:13" x14ac:dyDescent="0.2">
      <c r="I46" s="11"/>
      <c r="J46" s="11"/>
      <c r="K46" s="6"/>
      <c r="L46" s="6"/>
      <c r="M46" s="6"/>
    </row>
    <row r="47" spans="1:13" x14ac:dyDescent="0.2">
      <c r="I47" s="11"/>
      <c r="J47" s="11"/>
      <c r="K47" s="6"/>
      <c r="L47" s="6"/>
      <c r="M47" s="6"/>
    </row>
    <row r="48" spans="1:13" x14ac:dyDescent="0.2">
      <c r="I48" s="11"/>
      <c r="J48" s="11"/>
      <c r="K48" s="6"/>
      <c r="L48" s="6"/>
      <c r="M48" s="6"/>
    </row>
    <row r="50" spans="9:13" x14ac:dyDescent="0.2">
      <c r="I50" s="9"/>
      <c r="J50" s="9"/>
      <c r="K50" s="9"/>
      <c r="L50" s="9"/>
      <c r="M50" s="9"/>
    </row>
    <row r="51" spans="9:13" x14ac:dyDescent="0.2">
      <c r="I51" s="9"/>
      <c r="J51" s="9"/>
      <c r="K51" s="9"/>
      <c r="L51" s="9"/>
      <c r="M51" s="9"/>
    </row>
    <row r="52" spans="9:13" x14ac:dyDescent="0.2">
      <c r="J52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18"/>
  <sheetViews>
    <sheetView workbookViewId="0">
      <selection activeCell="B16" sqref="B16"/>
    </sheetView>
  </sheetViews>
  <sheetFormatPr defaultRowHeight="12.75" x14ac:dyDescent="0.2"/>
  <cols>
    <col min="1" max="1" width="10.7109375" style="1" customWidth="1"/>
    <col min="2" max="2" width="10.7109375" style="16" bestFit="1" customWidth="1"/>
    <col min="4" max="4" width="10.7109375" style="16" bestFit="1" customWidth="1"/>
  </cols>
  <sheetData>
    <row r="1" spans="1:10" x14ac:dyDescent="0.2">
      <c r="A1" s="151" t="s">
        <v>196</v>
      </c>
      <c r="B1" s="130"/>
      <c r="C1" s="130" t="s">
        <v>204</v>
      </c>
      <c r="D1" s="130" t="s">
        <v>204</v>
      </c>
      <c r="G1" s="10"/>
      <c r="H1" s="20"/>
    </row>
    <row r="2" spans="1:10" ht="14.25" x14ac:dyDescent="0.2">
      <c r="A2" s="152" t="s">
        <v>195</v>
      </c>
      <c r="B2" s="38"/>
      <c r="C2" s="38" t="s">
        <v>206</v>
      </c>
      <c r="D2" s="38" t="s">
        <v>205</v>
      </c>
    </row>
    <row r="3" spans="1:10" x14ac:dyDescent="0.2">
      <c r="A3"/>
      <c r="B3" s="152" t="s">
        <v>173</v>
      </c>
      <c r="C3" s="10"/>
      <c r="D3"/>
    </row>
    <row r="4" spans="1:10" ht="14.25" x14ac:dyDescent="0.2">
      <c r="A4" s="38">
        <v>2008</v>
      </c>
      <c r="B4" s="144">
        <v>2275.4319999999998</v>
      </c>
      <c r="C4" s="144">
        <v>899.36904355380125</v>
      </c>
      <c r="D4" s="144">
        <v>3174.8010435538013</v>
      </c>
      <c r="G4" s="146"/>
      <c r="H4" s="147"/>
    </row>
    <row r="5" spans="1:10" ht="14.25" x14ac:dyDescent="0.2">
      <c r="A5" s="38">
        <v>2009</v>
      </c>
      <c r="B5" s="144">
        <v>2338.5500000000002</v>
      </c>
      <c r="C5" s="144">
        <v>1163.7500505351309</v>
      </c>
      <c r="D5" s="144">
        <v>3502.3000505351306</v>
      </c>
      <c r="G5" s="146"/>
      <c r="H5" s="147"/>
    </row>
    <row r="6" spans="1:10" ht="14.25" x14ac:dyDescent="0.2">
      <c r="A6" s="38">
        <v>2010</v>
      </c>
      <c r="B6" s="144">
        <v>2278.0839999999998</v>
      </c>
      <c r="C6" s="144">
        <v>1207.8462416269929</v>
      </c>
      <c r="D6" s="144">
        <v>3485.9302416269929</v>
      </c>
      <c r="G6" s="146"/>
      <c r="H6" s="147"/>
    </row>
    <row r="7" spans="1:10" ht="14.25" x14ac:dyDescent="0.2">
      <c r="A7" s="38">
        <v>2011</v>
      </c>
      <c r="B7" s="144">
        <v>2369.8850000000002</v>
      </c>
      <c r="C7" s="144">
        <v>945.15112059837202</v>
      </c>
      <c r="D7" s="144">
        <v>3315.0361205983722</v>
      </c>
      <c r="G7" s="146"/>
      <c r="H7" s="147"/>
    </row>
    <row r="8" spans="1:10" ht="14.25" x14ac:dyDescent="0.2">
      <c r="A8" s="38">
        <v>2012</v>
      </c>
      <c r="B8" s="144">
        <v>1966.1610000000001</v>
      </c>
      <c r="C8" s="144">
        <v>1249.5393493307699</v>
      </c>
      <c r="D8" s="144">
        <v>3215.7003493307698</v>
      </c>
      <c r="G8" s="146"/>
      <c r="H8" s="147"/>
    </row>
    <row r="9" spans="1:10" ht="14.25" x14ac:dyDescent="0.2">
      <c r="A9" s="38">
        <v>2013</v>
      </c>
      <c r="B9" s="144">
        <v>2153.6210000000001</v>
      </c>
      <c r="C9" s="144">
        <v>1351.4282060411865</v>
      </c>
      <c r="D9" s="144">
        <v>3505.0492060411866</v>
      </c>
      <c r="F9" s="147"/>
      <c r="G9" s="146"/>
      <c r="H9" s="147"/>
    </row>
    <row r="10" spans="1:10" ht="14.25" x14ac:dyDescent="0.2">
      <c r="A10" s="38">
        <v>2014</v>
      </c>
      <c r="B10" s="144">
        <v>2527.7440000000001</v>
      </c>
      <c r="C10" s="144">
        <v>1499.9435134432808</v>
      </c>
      <c r="D10" s="144">
        <v>4027.6875134432807</v>
      </c>
      <c r="F10" s="147"/>
      <c r="G10" s="146"/>
      <c r="H10" s="147"/>
    </row>
    <row r="11" spans="1:10" ht="14.25" x14ac:dyDescent="0.2">
      <c r="A11" s="38">
        <v>2015</v>
      </c>
      <c r="B11" s="144">
        <v>2714.0770000000002</v>
      </c>
      <c r="C11" s="144">
        <v>1409.8169477891447</v>
      </c>
      <c r="D11" s="144">
        <v>4123.8939477891445</v>
      </c>
      <c r="F11" s="147"/>
      <c r="G11" s="146"/>
    </row>
    <row r="12" spans="1:10" ht="14.25" x14ac:dyDescent="0.2">
      <c r="A12" s="38">
        <v>2016</v>
      </c>
      <c r="B12" s="144">
        <v>2899.056</v>
      </c>
      <c r="C12" s="144">
        <v>1599.6327670991161</v>
      </c>
      <c r="D12" s="144">
        <v>4498.6887670991164</v>
      </c>
      <c r="F12" s="147"/>
      <c r="G12" s="146"/>
    </row>
    <row r="13" spans="1:10" ht="14.25" x14ac:dyDescent="0.2">
      <c r="A13" s="38">
        <v>2017</v>
      </c>
      <c r="B13" s="144">
        <v>3160.6790000000001</v>
      </c>
      <c r="C13" s="144">
        <v>1558.1708014956098</v>
      </c>
      <c r="D13" s="144">
        <v>4718.8498014956094</v>
      </c>
      <c r="F13" s="147"/>
      <c r="G13" s="146"/>
    </row>
    <row r="14" spans="1:10" ht="14.25" x14ac:dyDescent="0.2">
      <c r="A14" s="38">
        <v>2018</v>
      </c>
      <c r="B14" s="144">
        <v>3736.212</v>
      </c>
      <c r="C14" s="144">
        <v>1249.417971830424</v>
      </c>
      <c r="D14" s="144">
        <v>4985.6299718304235</v>
      </c>
      <c r="F14" s="147"/>
      <c r="G14" s="146"/>
    </row>
    <row r="15" spans="1:10" x14ac:dyDescent="0.2">
      <c r="A15" s="143"/>
      <c r="B15" s="147"/>
      <c r="C15" s="145"/>
      <c r="D15" s="147"/>
      <c r="F15" s="147"/>
    </row>
    <row r="16" spans="1:10" x14ac:dyDescent="0.2">
      <c r="A16" s="143"/>
      <c r="B16" s="147"/>
      <c r="C16" s="145"/>
      <c r="D16" s="147"/>
      <c r="H16" s="144"/>
      <c r="I16" s="144"/>
      <c r="J16" s="144"/>
    </row>
    <row r="17" spans="1:9" x14ac:dyDescent="0.2">
      <c r="A17" s="143"/>
      <c r="B17" s="147"/>
      <c r="C17" s="145"/>
      <c r="D17" s="147"/>
      <c r="H17" s="13"/>
      <c r="I17" s="13"/>
    </row>
    <row r="18" spans="1:9" x14ac:dyDescent="0.2">
      <c r="A18" s="143"/>
      <c r="B18" s="147"/>
      <c r="C18" s="145"/>
      <c r="D18" s="147"/>
      <c r="F18" s="146"/>
      <c r="G18" s="146"/>
      <c r="H18" s="13"/>
      <c r="I18" s="13"/>
    </row>
    <row r="19" spans="1:9" x14ac:dyDescent="0.2">
      <c r="A19" s="143"/>
      <c r="B19" s="147"/>
      <c r="C19" s="145"/>
      <c r="D19" s="147"/>
      <c r="F19" s="9"/>
      <c r="G19" s="146"/>
      <c r="H19" s="13"/>
      <c r="I19" s="13"/>
    </row>
    <row r="20" spans="1:9" x14ac:dyDescent="0.2">
      <c r="A20" s="143"/>
      <c r="B20" s="147"/>
      <c r="C20" s="145"/>
      <c r="D20" s="147"/>
      <c r="F20" s="9"/>
      <c r="G20" s="146"/>
      <c r="H20" s="13"/>
      <c r="I20" s="13"/>
    </row>
    <row r="21" spans="1:9" x14ac:dyDescent="0.2">
      <c r="A21" s="143"/>
      <c r="B21" s="147"/>
      <c r="C21" s="145"/>
      <c r="D21" s="147"/>
      <c r="F21" s="9"/>
      <c r="G21" s="146"/>
      <c r="H21" s="13"/>
      <c r="I21" s="13"/>
    </row>
    <row r="22" spans="1:9" x14ac:dyDescent="0.2">
      <c r="A22" s="143"/>
      <c r="B22" s="147"/>
      <c r="C22" s="145"/>
      <c r="D22" s="147"/>
      <c r="F22" s="9"/>
      <c r="G22" s="146"/>
      <c r="H22" s="13"/>
      <c r="I22" s="13"/>
    </row>
    <row r="23" spans="1:9" x14ac:dyDescent="0.2">
      <c r="A23" s="143"/>
      <c r="B23" s="9"/>
      <c r="C23" s="145"/>
      <c r="D23" s="9"/>
      <c r="F23" s="9"/>
      <c r="G23" s="146"/>
      <c r="H23" s="13"/>
      <c r="I23" s="13"/>
    </row>
    <row r="24" spans="1:9" x14ac:dyDescent="0.2">
      <c r="A24" s="143"/>
      <c r="B24" s="9"/>
      <c r="C24" s="145"/>
      <c r="D24" s="9"/>
      <c r="F24" s="9"/>
      <c r="G24" s="146"/>
      <c r="H24" s="13"/>
      <c r="I24" s="13"/>
    </row>
    <row r="25" spans="1:9" x14ac:dyDescent="0.2">
      <c r="A25" s="143"/>
      <c r="B25" s="9"/>
      <c r="C25" s="145"/>
      <c r="D25" s="9"/>
      <c r="F25" s="9"/>
      <c r="G25" s="146"/>
      <c r="H25" s="13"/>
      <c r="I25" s="13"/>
    </row>
    <row r="26" spans="1:9" x14ac:dyDescent="0.2">
      <c r="A26" s="143"/>
      <c r="B26" s="9"/>
      <c r="C26" s="145"/>
      <c r="D26" s="9"/>
      <c r="F26" s="9"/>
      <c r="G26" s="146"/>
      <c r="H26" s="13"/>
      <c r="I26" s="13"/>
    </row>
    <row r="27" spans="1:9" x14ac:dyDescent="0.2">
      <c r="A27" s="143"/>
      <c r="B27" s="9"/>
      <c r="C27" s="145"/>
      <c r="D27" s="9"/>
      <c r="F27" s="9"/>
      <c r="G27" s="146"/>
      <c r="H27" s="13"/>
      <c r="I27" s="13"/>
    </row>
    <row r="28" spans="1:9" x14ac:dyDescent="0.2">
      <c r="A28" s="143"/>
      <c r="B28" s="9"/>
      <c r="C28" s="145"/>
      <c r="D28" s="9"/>
      <c r="F28" s="9"/>
      <c r="G28" s="146"/>
      <c r="H28" s="13"/>
      <c r="I28" s="13"/>
    </row>
    <row r="29" spans="1:9" x14ac:dyDescent="0.2">
      <c r="A29" s="143"/>
      <c r="B29" s="9"/>
      <c r="C29" s="145"/>
      <c r="D29" s="9"/>
      <c r="F29" s="9"/>
      <c r="G29" s="146"/>
    </row>
    <row r="30" spans="1:9" x14ac:dyDescent="0.2">
      <c r="A30" s="19"/>
      <c r="B30" s="9"/>
      <c r="C30" s="9"/>
      <c r="D30" s="9"/>
      <c r="F30" s="9"/>
      <c r="G30" s="146"/>
    </row>
    <row r="31" spans="1:9" x14ac:dyDescent="0.2">
      <c r="A31" s="19"/>
      <c r="B31" s="9"/>
      <c r="C31" s="146"/>
      <c r="D31" s="146"/>
      <c r="F31" s="146"/>
      <c r="G31" s="146"/>
    </row>
    <row r="32" spans="1:9" x14ac:dyDescent="0.2">
      <c r="A32" s="19"/>
      <c r="B32" s="146"/>
      <c r="C32" s="146"/>
      <c r="D32" s="146"/>
      <c r="F32" s="146"/>
      <c r="G32" s="146"/>
    </row>
    <row r="33" spans="1:7" x14ac:dyDescent="0.2">
      <c r="A33" s="19"/>
      <c r="B33" s="146"/>
      <c r="C33" s="146"/>
      <c r="D33" s="146"/>
      <c r="F33" s="146"/>
      <c r="G33" s="146"/>
    </row>
    <row r="34" spans="1:7" x14ac:dyDescent="0.2">
      <c r="A34" s="19"/>
      <c r="B34" s="19"/>
      <c r="C34" s="13"/>
      <c r="D34" s="13"/>
      <c r="F34" s="13"/>
    </row>
    <row r="35" spans="1:7" x14ac:dyDescent="0.2">
      <c r="A35" s="19"/>
      <c r="B35" s="19"/>
      <c r="C35" s="13"/>
      <c r="D35" s="13"/>
      <c r="F35" s="13"/>
    </row>
    <row r="36" spans="1:7" x14ac:dyDescent="0.2">
      <c r="A36" s="19"/>
      <c r="B36" s="19"/>
      <c r="C36" s="13"/>
      <c r="D36" s="13"/>
      <c r="F36" s="13"/>
    </row>
    <row r="37" spans="1:7" x14ac:dyDescent="0.2">
      <c r="A37" s="19"/>
      <c r="B37" s="19"/>
      <c r="C37" s="13"/>
      <c r="D37" s="13"/>
      <c r="F37" s="13"/>
    </row>
    <row r="38" spans="1:7" x14ac:dyDescent="0.2">
      <c r="A38" s="19"/>
      <c r="B38" s="19"/>
      <c r="C38" s="13"/>
      <c r="D38" s="13"/>
      <c r="F38" s="13"/>
    </row>
    <row r="39" spans="1:7" x14ac:dyDescent="0.2">
      <c r="A39" s="19"/>
      <c r="B39" s="19"/>
      <c r="C39" s="13"/>
      <c r="D39" s="13"/>
      <c r="F39" s="13"/>
    </row>
    <row r="40" spans="1:7" x14ac:dyDescent="0.2">
      <c r="A40" s="19"/>
      <c r="B40" s="19"/>
      <c r="C40" s="13"/>
      <c r="D40" s="13"/>
      <c r="F40" s="13"/>
    </row>
    <row r="41" spans="1:7" x14ac:dyDescent="0.2">
      <c r="A41" s="19"/>
      <c r="B41" s="19"/>
      <c r="C41" s="13"/>
      <c r="D41" s="13"/>
      <c r="F41" s="13"/>
    </row>
    <row r="42" spans="1:7" x14ac:dyDescent="0.2">
      <c r="A42" s="19"/>
      <c r="B42" s="19"/>
      <c r="C42" s="13"/>
      <c r="D42" s="13"/>
      <c r="F42" s="13"/>
    </row>
    <row r="43" spans="1:7" x14ac:dyDescent="0.2">
      <c r="A43" s="19"/>
      <c r="B43" s="19"/>
      <c r="C43" s="13"/>
      <c r="D43" s="13"/>
      <c r="F43" s="13"/>
    </row>
    <row r="44" spans="1:7" x14ac:dyDescent="0.2">
      <c r="A44" s="127"/>
      <c r="B44" s="126"/>
      <c r="D44" s="126"/>
    </row>
    <row r="45" spans="1:7" x14ac:dyDescent="0.2">
      <c r="A45" s="127"/>
      <c r="B45" s="126"/>
      <c r="D45" s="126"/>
    </row>
    <row r="46" spans="1:7" x14ac:dyDescent="0.2">
      <c r="A46" s="127"/>
      <c r="B46" s="126"/>
      <c r="D46" s="126"/>
    </row>
    <row r="47" spans="1:7" x14ac:dyDescent="0.2">
      <c r="A47" s="127"/>
      <c r="B47" s="126"/>
      <c r="D47" s="126"/>
    </row>
    <row r="48" spans="1:7" x14ac:dyDescent="0.2">
      <c r="A48" s="127"/>
      <c r="B48" s="126"/>
      <c r="D48" s="126"/>
    </row>
    <row r="49" spans="1:4" x14ac:dyDescent="0.2">
      <c r="A49" s="127"/>
      <c r="B49" s="126"/>
      <c r="D49" s="126"/>
    </row>
    <row r="50" spans="1:4" x14ac:dyDescent="0.2">
      <c r="A50" s="127"/>
      <c r="B50" s="126"/>
      <c r="D50" s="126"/>
    </row>
    <row r="51" spans="1:4" x14ac:dyDescent="0.2">
      <c r="A51" s="127"/>
      <c r="B51" s="126"/>
      <c r="D51" s="126"/>
    </row>
    <row r="52" spans="1:4" x14ac:dyDescent="0.2">
      <c r="A52" s="127"/>
      <c r="B52" s="126"/>
      <c r="D52" s="126"/>
    </row>
    <row r="53" spans="1:4" x14ac:dyDescent="0.2">
      <c r="A53" s="127"/>
      <c r="B53" s="126"/>
      <c r="D53" s="126"/>
    </row>
    <row r="54" spans="1:4" x14ac:dyDescent="0.2">
      <c r="A54" s="127"/>
      <c r="B54" s="126"/>
      <c r="D54" s="126"/>
    </row>
    <row r="55" spans="1:4" x14ac:dyDescent="0.2">
      <c r="A55" s="127"/>
      <c r="B55" s="126"/>
      <c r="D55" s="126"/>
    </row>
    <row r="56" spans="1:4" x14ac:dyDescent="0.2">
      <c r="A56" s="127"/>
      <c r="B56" s="126"/>
      <c r="D56" s="126"/>
    </row>
    <row r="57" spans="1:4" x14ac:dyDescent="0.2">
      <c r="A57" s="127"/>
      <c r="B57" s="126"/>
      <c r="D57" s="126"/>
    </row>
    <row r="58" spans="1:4" x14ac:dyDescent="0.2">
      <c r="A58" s="127"/>
      <c r="B58" s="126"/>
      <c r="D58" s="126"/>
    </row>
    <row r="59" spans="1:4" x14ac:dyDescent="0.2">
      <c r="A59" s="127"/>
      <c r="B59" s="126"/>
      <c r="D59" s="126"/>
    </row>
    <row r="60" spans="1:4" x14ac:dyDescent="0.2">
      <c r="A60" s="127"/>
      <c r="B60" s="126"/>
      <c r="D60" s="126"/>
    </row>
    <row r="61" spans="1:4" x14ac:dyDescent="0.2">
      <c r="A61" s="127"/>
      <c r="B61" s="126"/>
      <c r="D61" s="126"/>
    </row>
    <row r="62" spans="1:4" x14ac:dyDescent="0.2">
      <c r="A62" s="127"/>
      <c r="B62" s="126"/>
      <c r="D62" s="126"/>
    </row>
    <row r="63" spans="1:4" x14ac:dyDescent="0.2">
      <c r="A63" s="127"/>
      <c r="B63" s="126"/>
      <c r="D63" s="126"/>
    </row>
    <row r="64" spans="1:4" x14ac:dyDescent="0.2">
      <c r="A64" s="127"/>
      <c r="B64" s="126"/>
      <c r="D64" s="126"/>
    </row>
    <row r="65" spans="1:4" x14ac:dyDescent="0.2">
      <c r="A65" s="127"/>
      <c r="B65" s="126"/>
      <c r="D65" s="126"/>
    </row>
    <row r="66" spans="1:4" x14ac:dyDescent="0.2">
      <c r="A66" s="127"/>
      <c r="B66" s="126"/>
      <c r="D66" s="126"/>
    </row>
    <row r="67" spans="1:4" x14ac:dyDescent="0.2">
      <c r="A67" s="127"/>
      <c r="B67" s="126"/>
      <c r="D67" s="126"/>
    </row>
    <row r="68" spans="1:4" x14ac:dyDescent="0.2">
      <c r="A68" s="127"/>
      <c r="B68" s="126"/>
      <c r="D68" s="126"/>
    </row>
    <row r="69" spans="1:4" x14ac:dyDescent="0.2">
      <c r="A69" s="127"/>
      <c r="B69" s="126"/>
      <c r="D69" s="126"/>
    </row>
    <row r="70" spans="1:4" x14ac:dyDescent="0.2">
      <c r="A70" s="127"/>
      <c r="B70" s="126"/>
      <c r="D70" s="126"/>
    </row>
    <row r="71" spans="1:4" x14ac:dyDescent="0.2">
      <c r="A71" s="127"/>
      <c r="B71" s="126"/>
      <c r="D71" s="126"/>
    </row>
    <row r="72" spans="1:4" x14ac:dyDescent="0.2">
      <c r="A72" s="127"/>
      <c r="B72" s="126"/>
      <c r="D72" s="126"/>
    </row>
    <row r="73" spans="1:4" x14ac:dyDescent="0.2">
      <c r="A73" s="127"/>
      <c r="B73" s="126"/>
      <c r="D73" s="126"/>
    </row>
    <row r="74" spans="1:4" x14ac:dyDescent="0.2">
      <c r="A74" s="127"/>
      <c r="B74" s="126"/>
      <c r="D74" s="126"/>
    </row>
    <row r="75" spans="1:4" x14ac:dyDescent="0.2">
      <c r="A75" s="127"/>
      <c r="B75" s="126"/>
      <c r="D75" s="126"/>
    </row>
    <row r="76" spans="1:4" x14ac:dyDescent="0.2">
      <c r="A76" s="127"/>
      <c r="B76" s="126"/>
      <c r="D76" s="126"/>
    </row>
    <row r="77" spans="1:4" x14ac:dyDescent="0.2">
      <c r="A77" s="127"/>
      <c r="B77" s="126"/>
      <c r="D77" s="126"/>
    </row>
    <row r="78" spans="1:4" x14ac:dyDescent="0.2">
      <c r="A78" s="127"/>
      <c r="B78" s="126"/>
      <c r="D78" s="126"/>
    </row>
    <row r="79" spans="1:4" x14ac:dyDescent="0.2">
      <c r="A79" s="127"/>
      <c r="B79" s="126"/>
      <c r="D79" s="126"/>
    </row>
    <row r="80" spans="1:4" x14ac:dyDescent="0.2">
      <c r="A80" s="127"/>
      <c r="B80" s="126"/>
      <c r="D80" s="126"/>
    </row>
    <row r="81" spans="1:4" x14ac:dyDescent="0.2">
      <c r="A81" s="127"/>
      <c r="B81" s="126"/>
      <c r="D81" s="126"/>
    </row>
    <row r="82" spans="1:4" x14ac:dyDescent="0.2">
      <c r="A82" s="127"/>
      <c r="B82" s="126"/>
      <c r="D82" s="126"/>
    </row>
    <row r="83" spans="1:4" x14ac:dyDescent="0.2">
      <c r="A83" s="127"/>
      <c r="B83" s="126"/>
      <c r="D83" s="126"/>
    </row>
    <row r="84" spans="1:4" x14ac:dyDescent="0.2">
      <c r="A84" s="127"/>
      <c r="B84" s="126"/>
      <c r="D84" s="126"/>
    </row>
    <row r="85" spans="1:4" x14ac:dyDescent="0.2">
      <c r="A85" s="127"/>
      <c r="B85" s="126"/>
      <c r="D85" s="126"/>
    </row>
    <row r="86" spans="1:4" x14ac:dyDescent="0.2">
      <c r="A86" s="127"/>
      <c r="B86" s="126"/>
      <c r="D86" s="126"/>
    </row>
    <row r="87" spans="1:4" x14ac:dyDescent="0.2">
      <c r="A87" s="127"/>
      <c r="B87" s="126"/>
      <c r="D87" s="126"/>
    </row>
    <row r="88" spans="1:4" x14ac:dyDescent="0.2">
      <c r="A88" s="127"/>
      <c r="B88" s="126"/>
      <c r="D88" s="126"/>
    </row>
    <row r="89" spans="1:4" x14ac:dyDescent="0.2">
      <c r="A89" s="127"/>
      <c r="B89" s="126"/>
      <c r="D89" s="126"/>
    </row>
    <row r="90" spans="1:4" x14ac:dyDescent="0.2">
      <c r="A90" s="127"/>
      <c r="B90" s="126"/>
      <c r="D90" s="126"/>
    </row>
    <row r="91" spans="1:4" x14ac:dyDescent="0.2">
      <c r="A91" s="127"/>
      <c r="B91" s="126"/>
      <c r="D91" s="126"/>
    </row>
    <row r="92" spans="1:4" x14ac:dyDescent="0.2">
      <c r="A92" s="127"/>
      <c r="B92" s="126"/>
      <c r="D92" s="126"/>
    </row>
    <row r="93" spans="1:4" x14ac:dyDescent="0.2">
      <c r="A93" s="127"/>
      <c r="B93" s="126"/>
      <c r="D93" s="126"/>
    </row>
    <row r="94" spans="1:4" x14ac:dyDescent="0.2">
      <c r="A94" s="127"/>
      <c r="B94" s="126"/>
      <c r="D94" s="126"/>
    </row>
    <row r="95" spans="1:4" x14ac:dyDescent="0.2">
      <c r="A95" s="127"/>
      <c r="B95" s="126"/>
      <c r="D95" s="126"/>
    </row>
    <row r="96" spans="1:4" x14ac:dyDescent="0.2">
      <c r="A96" s="127"/>
      <c r="B96" s="126"/>
      <c r="D96" s="126"/>
    </row>
    <row r="97" spans="1:4" x14ac:dyDescent="0.2">
      <c r="A97" s="127"/>
      <c r="B97" s="126"/>
      <c r="D97" s="126"/>
    </row>
    <row r="98" spans="1:4" x14ac:dyDescent="0.2">
      <c r="A98" s="127"/>
      <c r="B98" s="126"/>
      <c r="D98" s="126"/>
    </row>
    <row r="99" spans="1:4" x14ac:dyDescent="0.2">
      <c r="A99" s="127"/>
      <c r="B99" s="126"/>
      <c r="D99" s="126"/>
    </row>
    <row r="100" spans="1:4" x14ac:dyDescent="0.2">
      <c r="A100" s="127"/>
      <c r="B100" s="126"/>
      <c r="D100" s="126"/>
    </row>
    <row r="101" spans="1:4" x14ac:dyDescent="0.2">
      <c r="A101" s="127"/>
      <c r="B101" s="126"/>
      <c r="D101" s="126"/>
    </row>
    <row r="102" spans="1:4" x14ac:dyDescent="0.2">
      <c r="A102" s="127"/>
      <c r="B102" s="126"/>
      <c r="D102" s="126"/>
    </row>
    <row r="103" spans="1:4" x14ac:dyDescent="0.2">
      <c r="A103" s="127"/>
      <c r="B103" s="126"/>
      <c r="D103" s="126"/>
    </row>
    <row r="104" spans="1:4" x14ac:dyDescent="0.2">
      <c r="A104" s="127"/>
      <c r="B104" s="126"/>
      <c r="D104" s="126"/>
    </row>
    <row r="105" spans="1:4" x14ac:dyDescent="0.2">
      <c r="A105" s="127"/>
      <c r="B105" s="126"/>
      <c r="D105" s="126"/>
    </row>
    <row r="106" spans="1:4" x14ac:dyDescent="0.2">
      <c r="A106" s="127"/>
      <c r="B106" s="126"/>
      <c r="D106" s="126"/>
    </row>
    <row r="107" spans="1:4" x14ac:dyDescent="0.2">
      <c r="A107" s="127"/>
      <c r="B107" s="126"/>
      <c r="D107" s="126"/>
    </row>
    <row r="108" spans="1:4" x14ac:dyDescent="0.2">
      <c r="A108" s="127"/>
      <c r="B108" s="126"/>
      <c r="D108" s="126"/>
    </row>
    <row r="109" spans="1:4" x14ac:dyDescent="0.2">
      <c r="A109" s="127"/>
      <c r="B109" s="126"/>
      <c r="D109" s="126"/>
    </row>
    <row r="110" spans="1:4" x14ac:dyDescent="0.2">
      <c r="A110" s="127"/>
      <c r="B110" s="126"/>
      <c r="D110" s="126"/>
    </row>
    <row r="111" spans="1:4" x14ac:dyDescent="0.2">
      <c r="A111" s="127"/>
      <c r="B111" s="126"/>
      <c r="D111" s="126"/>
    </row>
    <row r="112" spans="1:4" x14ac:dyDescent="0.2">
      <c r="A112" s="127"/>
      <c r="B112" s="126"/>
      <c r="D112" s="126"/>
    </row>
    <row r="113" spans="1:4" x14ac:dyDescent="0.2">
      <c r="A113" s="127"/>
      <c r="B113" s="126"/>
      <c r="D113" s="126"/>
    </row>
    <row r="114" spans="1:4" x14ac:dyDescent="0.2">
      <c r="A114" s="127"/>
      <c r="B114" s="126"/>
      <c r="D114" s="126"/>
    </row>
    <row r="115" spans="1:4" x14ac:dyDescent="0.2">
      <c r="A115" s="127"/>
      <c r="B115" s="126"/>
      <c r="D115" s="126"/>
    </row>
    <row r="116" spans="1:4" x14ac:dyDescent="0.2">
      <c r="A116" s="127"/>
      <c r="B116" s="126"/>
      <c r="D116" s="126"/>
    </row>
    <row r="117" spans="1:4" x14ac:dyDescent="0.2">
      <c r="A117" s="127"/>
      <c r="B117" s="126"/>
      <c r="D117" s="126"/>
    </row>
    <row r="118" spans="1:4" x14ac:dyDescent="0.2">
      <c r="A118" s="127"/>
      <c r="B118" s="126"/>
      <c r="D118" s="126"/>
    </row>
    <row r="119" spans="1:4" x14ac:dyDescent="0.2">
      <c r="A119" s="127"/>
      <c r="B119" s="126"/>
      <c r="D119" s="126"/>
    </row>
    <row r="120" spans="1:4" x14ac:dyDescent="0.2">
      <c r="A120" s="127"/>
      <c r="B120" s="126"/>
      <c r="D120" s="126"/>
    </row>
    <row r="121" spans="1:4" x14ac:dyDescent="0.2">
      <c r="A121" s="127"/>
      <c r="B121" s="126"/>
      <c r="D121" s="126"/>
    </row>
    <row r="122" spans="1:4" x14ac:dyDescent="0.2">
      <c r="A122" s="127"/>
      <c r="B122" s="126"/>
      <c r="D122" s="126"/>
    </row>
    <row r="123" spans="1:4" x14ac:dyDescent="0.2">
      <c r="A123" s="127"/>
      <c r="B123" s="126"/>
      <c r="D123" s="126"/>
    </row>
    <row r="124" spans="1:4" x14ac:dyDescent="0.2">
      <c r="A124" s="127"/>
      <c r="B124" s="126"/>
      <c r="D124" s="126"/>
    </row>
    <row r="125" spans="1:4" x14ac:dyDescent="0.2">
      <c r="A125" s="127"/>
      <c r="B125" s="126"/>
      <c r="D125" s="126"/>
    </row>
    <row r="126" spans="1:4" x14ac:dyDescent="0.2">
      <c r="A126" s="127"/>
      <c r="B126" s="126"/>
      <c r="D126" s="126"/>
    </row>
    <row r="127" spans="1:4" x14ac:dyDescent="0.2">
      <c r="A127" s="127"/>
      <c r="B127" s="126"/>
      <c r="D127" s="126"/>
    </row>
    <row r="128" spans="1:4" x14ac:dyDescent="0.2">
      <c r="A128" s="127"/>
      <c r="B128" s="126"/>
      <c r="D128" s="126"/>
    </row>
    <row r="129" spans="1:4" x14ac:dyDescent="0.2">
      <c r="A129" s="127"/>
      <c r="B129" s="126"/>
      <c r="D129" s="126"/>
    </row>
    <row r="130" spans="1:4" x14ac:dyDescent="0.2">
      <c r="A130" s="127"/>
      <c r="B130" s="126"/>
      <c r="D130" s="126"/>
    </row>
    <row r="131" spans="1:4" x14ac:dyDescent="0.2">
      <c r="A131" s="127"/>
      <c r="B131" s="126"/>
    </row>
    <row r="132" spans="1:4" x14ac:dyDescent="0.2">
      <c r="A132" s="127"/>
      <c r="B132" s="126"/>
      <c r="D132" s="126"/>
    </row>
    <row r="133" spans="1:4" x14ac:dyDescent="0.2">
      <c r="A133" s="127"/>
      <c r="B133" s="126"/>
      <c r="D133" s="126"/>
    </row>
    <row r="134" spans="1:4" x14ac:dyDescent="0.2">
      <c r="A134" s="127"/>
      <c r="B134" s="126"/>
      <c r="D134" s="126"/>
    </row>
    <row r="135" spans="1:4" x14ac:dyDescent="0.2">
      <c r="A135" s="127"/>
      <c r="B135" s="126"/>
      <c r="D135" s="126"/>
    </row>
    <row r="136" spans="1:4" x14ac:dyDescent="0.2">
      <c r="A136" s="127"/>
      <c r="B136" s="126"/>
      <c r="D136" s="126"/>
    </row>
    <row r="137" spans="1:4" x14ac:dyDescent="0.2">
      <c r="A137" s="127"/>
      <c r="B137" s="126"/>
      <c r="D137" s="126"/>
    </row>
    <row r="138" spans="1:4" x14ac:dyDescent="0.2">
      <c r="A138" s="127"/>
      <c r="B138" s="126"/>
      <c r="D138" s="126"/>
    </row>
    <row r="139" spans="1:4" x14ac:dyDescent="0.2">
      <c r="A139" s="127"/>
      <c r="B139" s="126"/>
      <c r="D139" s="126"/>
    </row>
    <row r="140" spans="1:4" x14ac:dyDescent="0.2">
      <c r="A140" s="127"/>
      <c r="B140" s="126"/>
      <c r="D140" s="126"/>
    </row>
    <row r="141" spans="1:4" x14ac:dyDescent="0.2">
      <c r="A141" s="127"/>
      <c r="B141" s="126"/>
      <c r="D141" s="126"/>
    </row>
    <row r="142" spans="1:4" x14ac:dyDescent="0.2">
      <c r="A142" s="127"/>
      <c r="B142" s="126"/>
      <c r="D142" s="126"/>
    </row>
    <row r="143" spans="1:4" x14ac:dyDescent="0.2">
      <c r="A143" s="127"/>
      <c r="B143" s="126"/>
      <c r="D143" s="126"/>
    </row>
    <row r="144" spans="1:4" x14ac:dyDescent="0.2">
      <c r="A144" s="127"/>
      <c r="B144" s="126"/>
      <c r="D144" s="126"/>
    </row>
    <row r="145" spans="1:4" x14ac:dyDescent="0.2">
      <c r="A145" s="127"/>
      <c r="B145" s="126"/>
      <c r="D145" s="126"/>
    </row>
    <row r="146" spans="1:4" x14ac:dyDescent="0.2">
      <c r="A146" s="127"/>
      <c r="B146" s="126"/>
      <c r="D146" s="126"/>
    </row>
    <row r="147" spans="1:4" x14ac:dyDescent="0.2">
      <c r="A147" s="127"/>
      <c r="B147" s="126"/>
      <c r="D147" s="126"/>
    </row>
    <row r="148" spans="1:4" x14ac:dyDescent="0.2">
      <c r="A148" s="127"/>
      <c r="B148" s="126"/>
      <c r="D148" s="126"/>
    </row>
    <row r="149" spans="1:4" x14ac:dyDescent="0.2">
      <c r="A149" s="127"/>
      <c r="B149" s="126"/>
      <c r="D149" s="126"/>
    </row>
    <row r="150" spans="1:4" x14ac:dyDescent="0.2">
      <c r="A150" s="127"/>
      <c r="B150" s="126"/>
      <c r="D150" s="126"/>
    </row>
    <row r="151" spans="1:4" x14ac:dyDescent="0.2">
      <c r="A151" s="127"/>
      <c r="B151" s="126"/>
      <c r="D151" s="126"/>
    </row>
    <row r="152" spans="1:4" x14ac:dyDescent="0.2">
      <c r="A152" s="127"/>
      <c r="B152" s="126"/>
      <c r="D152" s="126"/>
    </row>
    <row r="153" spans="1:4" x14ac:dyDescent="0.2">
      <c r="A153" s="127"/>
      <c r="B153" s="126"/>
      <c r="D153" s="126"/>
    </row>
    <row r="154" spans="1:4" x14ac:dyDescent="0.2">
      <c r="A154" s="127"/>
      <c r="B154" s="126"/>
      <c r="D154" s="126"/>
    </row>
    <row r="155" spans="1:4" x14ac:dyDescent="0.2">
      <c r="A155" s="127"/>
      <c r="B155" s="126"/>
      <c r="D155" s="126"/>
    </row>
    <row r="156" spans="1:4" x14ac:dyDescent="0.2">
      <c r="A156" s="127"/>
      <c r="B156" s="126"/>
      <c r="D156" s="126"/>
    </row>
    <row r="157" spans="1:4" x14ac:dyDescent="0.2">
      <c r="A157" s="127"/>
      <c r="B157" s="126"/>
      <c r="D157" s="126"/>
    </row>
    <row r="158" spans="1:4" x14ac:dyDescent="0.2">
      <c r="A158" s="127"/>
      <c r="B158" s="126"/>
    </row>
    <row r="159" spans="1:4" x14ac:dyDescent="0.2">
      <c r="A159" s="127"/>
      <c r="B159" s="126"/>
      <c r="D159" s="126"/>
    </row>
    <row r="160" spans="1:4" x14ac:dyDescent="0.2">
      <c r="A160" s="127"/>
      <c r="B160" s="126"/>
      <c r="D160" s="126"/>
    </row>
    <row r="161" spans="1:4" x14ac:dyDescent="0.2">
      <c r="A161" s="127"/>
      <c r="B161" s="126"/>
      <c r="D161" s="126"/>
    </row>
    <row r="162" spans="1:4" x14ac:dyDescent="0.2">
      <c r="A162" s="127"/>
      <c r="B162" s="126"/>
      <c r="D162" s="126"/>
    </row>
    <row r="163" spans="1:4" x14ac:dyDescent="0.2">
      <c r="A163" s="127"/>
      <c r="B163" s="126"/>
      <c r="D163" s="126"/>
    </row>
    <row r="164" spans="1:4" x14ac:dyDescent="0.2">
      <c r="A164" s="127"/>
      <c r="B164" s="126"/>
      <c r="D164" s="126"/>
    </row>
    <row r="165" spans="1:4" x14ac:dyDescent="0.2">
      <c r="A165" s="127"/>
      <c r="B165" s="126"/>
      <c r="D165" s="126"/>
    </row>
    <row r="166" spans="1:4" x14ac:dyDescent="0.2">
      <c r="A166" s="127"/>
      <c r="B166" s="126"/>
      <c r="D166" s="126"/>
    </row>
    <row r="167" spans="1:4" x14ac:dyDescent="0.2">
      <c r="A167" s="127"/>
      <c r="B167" s="126"/>
      <c r="D167" s="126"/>
    </row>
    <row r="168" spans="1:4" x14ac:dyDescent="0.2">
      <c r="A168" s="127"/>
      <c r="B168" s="126"/>
    </row>
    <row r="169" spans="1:4" x14ac:dyDescent="0.2">
      <c r="A169" s="127"/>
      <c r="B169" s="126"/>
      <c r="D169" s="126"/>
    </row>
    <row r="170" spans="1:4" x14ac:dyDescent="0.2">
      <c r="A170" s="127"/>
      <c r="B170" s="126"/>
      <c r="D170" s="126"/>
    </row>
    <row r="171" spans="1:4" x14ac:dyDescent="0.2">
      <c r="A171" s="127"/>
      <c r="B171" s="126"/>
      <c r="D171" s="126"/>
    </row>
    <row r="172" spans="1:4" x14ac:dyDescent="0.2">
      <c r="A172" s="127"/>
      <c r="B172" s="126"/>
      <c r="D172" s="126"/>
    </row>
    <row r="173" spans="1:4" x14ac:dyDescent="0.2">
      <c r="A173" s="127"/>
      <c r="B173" s="126"/>
      <c r="D173" s="126"/>
    </row>
    <row r="174" spans="1:4" x14ac:dyDescent="0.2">
      <c r="A174" s="127"/>
      <c r="B174" s="126"/>
      <c r="D174" s="126"/>
    </row>
    <row r="175" spans="1:4" x14ac:dyDescent="0.2">
      <c r="A175" s="127"/>
      <c r="B175" s="126"/>
      <c r="D175" s="126"/>
    </row>
    <row r="176" spans="1:4" x14ac:dyDescent="0.2">
      <c r="A176" s="127"/>
      <c r="B176" s="126"/>
      <c r="D176" s="126"/>
    </row>
    <row r="177" spans="1:4" x14ac:dyDescent="0.2">
      <c r="A177" s="127"/>
      <c r="B177" s="126"/>
      <c r="D177" s="126"/>
    </row>
    <row r="178" spans="1:4" x14ac:dyDescent="0.2">
      <c r="A178" s="127"/>
      <c r="B178" s="126"/>
      <c r="D178" s="126"/>
    </row>
    <row r="179" spans="1:4" x14ac:dyDescent="0.2">
      <c r="A179" s="127"/>
      <c r="B179" s="126"/>
      <c r="D179" s="126"/>
    </row>
    <row r="180" spans="1:4" x14ac:dyDescent="0.2">
      <c r="A180" s="127"/>
      <c r="B180" s="126"/>
      <c r="D180" s="126"/>
    </row>
    <row r="181" spans="1:4" x14ac:dyDescent="0.2">
      <c r="A181" s="127"/>
      <c r="B181" s="126"/>
      <c r="D181" s="126"/>
    </row>
    <row r="182" spans="1:4" x14ac:dyDescent="0.2">
      <c r="A182" s="127"/>
      <c r="B182" s="126"/>
      <c r="D182" s="126"/>
    </row>
    <row r="183" spans="1:4" x14ac:dyDescent="0.2">
      <c r="A183" s="127"/>
      <c r="B183" s="126"/>
      <c r="D183" s="126"/>
    </row>
    <row r="184" spans="1:4" x14ac:dyDescent="0.2">
      <c r="A184" s="127"/>
      <c r="B184" s="126"/>
      <c r="D184" s="126"/>
    </row>
    <row r="185" spans="1:4" x14ac:dyDescent="0.2">
      <c r="A185" s="127"/>
      <c r="B185" s="126"/>
      <c r="D185" s="126"/>
    </row>
    <row r="186" spans="1:4" x14ac:dyDescent="0.2">
      <c r="A186" s="127"/>
      <c r="B186" s="126"/>
      <c r="D186" s="126"/>
    </row>
    <row r="187" spans="1:4" x14ac:dyDescent="0.2">
      <c r="A187" s="127"/>
      <c r="B187" s="126"/>
      <c r="D187" s="126"/>
    </row>
    <row r="188" spans="1:4" x14ac:dyDescent="0.2">
      <c r="A188" s="127"/>
      <c r="B188" s="126"/>
      <c r="D188" s="126"/>
    </row>
    <row r="189" spans="1:4" x14ac:dyDescent="0.2">
      <c r="A189" s="127"/>
      <c r="B189" s="126"/>
      <c r="D189" s="126"/>
    </row>
    <row r="190" spans="1:4" x14ac:dyDescent="0.2">
      <c r="A190" s="127"/>
      <c r="B190" s="126"/>
      <c r="D190" s="126"/>
    </row>
    <row r="191" spans="1:4" x14ac:dyDescent="0.2">
      <c r="A191" s="127"/>
      <c r="B191" s="126"/>
      <c r="D191" s="126"/>
    </row>
    <row r="192" spans="1:4" x14ac:dyDescent="0.2">
      <c r="A192" s="127"/>
      <c r="B192" s="126"/>
      <c r="D192" s="126"/>
    </row>
    <row r="193" spans="1:4" x14ac:dyDescent="0.2">
      <c r="A193" s="127"/>
      <c r="B193" s="126"/>
      <c r="D193" s="126"/>
    </row>
    <row r="194" spans="1:4" x14ac:dyDescent="0.2">
      <c r="A194" s="127"/>
      <c r="B194" s="126"/>
      <c r="D194" s="126"/>
    </row>
    <row r="195" spans="1:4" x14ac:dyDescent="0.2">
      <c r="A195" s="127"/>
      <c r="B195" s="126"/>
      <c r="D195" s="126"/>
    </row>
    <row r="196" spans="1:4" x14ac:dyDescent="0.2">
      <c r="A196" s="127"/>
      <c r="B196" s="126"/>
      <c r="D196" s="126"/>
    </row>
    <row r="197" spans="1:4" x14ac:dyDescent="0.2">
      <c r="A197" s="127"/>
      <c r="B197" s="126"/>
      <c r="D197" s="126"/>
    </row>
    <row r="198" spans="1:4" x14ac:dyDescent="0.2">
      <c r="A198" s="127"/>
      <c r="B198" s="126"/>
      <c r="D198" s="126"/>
    </row>
    <row r="199" spans="1:4" x14ac:dyDescent="0.2">
      <c r="A199" s="127"/>
      <c r="B199" s="126"/>
      <c r="D199" s="126"/>
    </row>
    <row r="200" spans="1:4" x14ac:dyDescent="0.2">
      <c r="A200" s="127"/>
      <c r="B200" s="126"/>
      <c r="D200" s="126"/>
    </row>
    <row r="201" spans="1:4" x14ac:dyDescent="0.2">
      <c r="A201" s="127"/>
      <c r="B201" s="126"/>
      <c r="D201" s="126"/>
    </row>
    <row r="202" spans="1:4" x14ac:dyDescent="0.2">
      <c r="A202" s="127"/>
      <c r="B202" s="126"/>
      <c r="D202" s="126"/>
    </row>
    <row r="203" spans="1:4" x14ac:dyDescent="0.2">
      <c r="A203" s="127"/>
      <c r="B203" s="126"/>
      <c r="D203" s="126"/>
    </row>
    <row r="204" spans="1:4" x14ac:dyDescent="0.2">
      <c r="A204" s="127"/>
      <c r="B204" s="126"/>
      <c r="D204" s="126"/>
    </row>
    <row r="205" spans="1:4" x14ac:dyDescent="0.2">
      <c r="A205" s="127"/>
      <c r="B205" s="126"/>
      <c r="D205" s="126"/>
    </row>
    <row r="206" spans="1:4" x14ac:dyDescent="0.2">
      <c r="A206" s="127"/>
      <c r="B206" s="126"/>
      <c r="D206" s="126"/>
    </row>
    <row r="207" spans="1:4" x14ac:dyDescent="0.2">
      <c r="A207" s="127"/>
      <c r="B207" s="126"/>
      <c r="D207" s="126"/>
    </row>
    <row r="208" spans="1:4" x14ac:dyDescent="0.2">
      <c r="A208" s="127"/>
      <c r="B208" s="126"/>
      <c r="D208" s="126"/>
    </row>
    <row r="209" spans="1:4" x14ac:dyDescent="0.2">
      <c r="A209" s="127"/>
      <c r="B209" s="126"/>
      <c r="D209" s="126"/>
    </row>
    <row r="210" spans="1:4" x14ac:dyDescent="0.2">
      <c r="A210" s="127"/>
      <c r="B210" s="126"/>
      <c r="D210" s="126"/>
    </row>
    <row r="211" spans="1:4" x14ac:dyDescent="0.2">
      <c r="A211" s="127"/>
      <c r="B211" s="126"/>
      <c r="D211" s="126"/>
    </row>
    <row r="212" spans="1:4" x14ac:dyDescent="0.2">
      <c r="A212" s="127"/>
      <c r="B212" s="126"/>
      <c r="D212" s="126"/>
    </row>
    <row r="213" spans="1:4" x14ac:dyDescent="0.2">
      <c r="A213" s="128"/>
      <c r="D213" s="126"/>
    </row>
    <row r="214" spans="1:4" x14ac:dyDescent="0.2">
      <c r="A214" s="128"/>
      <c r="D214" s="126"/>
    </row>
    <row r="215" spans="1:4" x14ac:dyDescent="0.2">
      <c r="A215" s="128"/>
    </row>
    <row r="216" spans="1:4" x14ac:dyDescent="0.2">
      <c r="A216" s="128"/>
    </row>
    <row r="217" spans="1:4" x14ac:dyDescent="0.2">
      <c r="A217" s="128"/>
    </row>
    <row r="218" spans="1:4" x14ac:dyDescent="0.2">
      <c r="A218" s="1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OCS-19b, February 2019</cp:keywords>
  <dc:description>mash@ers.usda.gov</dc:description>
  <cp:lastModifiedBy>Meade, Birgit - ERS</cp:lastModifiedBy>
  <cp:lastPrinted>2014-11-10T20:35:48Z</cp:lastPrinted>
  <dcterms:created xsi:type="dcterms:W3CDTF">2001-11-13T16:22:15Z</dcterms:created>
  <dcterms:modified xsi:type="dcterms:W3CDTF">2019-02-12T14:51:55Z</dcterms:modified>
  <cp:category>Oilseeds</cp:category>
</cp:coreProperties>
</file>